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weah-a/Desktop/Weah PhD Dissertation /"/>
    </mc:Choice>
  </mc:AlternateContent>
  <xr:revisionPtr revIDLastSave="0" documentId="13_ncr:1_{030D9A8C-FF0C-6840-BA75-A854698FC3F2}" xr6:coauthVersionLast="47" xr6:coauthVersionMax="47" xr10:uidLastSave="{00000000-0000-0000-0000-000000000000}"/>
  <bookViews>
    <workbookView xWindow="0" yWindow="500" windowWidth="28800" windowHeight="16440" activeTab="4" xr2:uid="{00000000-000D-0000-FFFF-FFFF00000000}"/>
  </bookViews>
  <sheets>
    <sheet name="Bong chart" sheetId="5" r:id="rId1"/>
    <sheet name="Lofa Chart" sheetId="6" r:id="rId2"/>
    <sheet name="Rivercess Chart" sheetId="7" r:id="rId3"/>
    <sheet name="Sinoe Chart" sheetId="8" r:id="rId4"/>
    <sheet name="Database" sheetId="1" r:id="rId5"/>
    <sheet name="Sheet1" sheetId="9" r:id="rId6"/>
    <sheet name="Fieldwork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6" i="1" l="1"/>
  <c r="E490" i="1" l="1"/>
  <c r="E489" i="1"/>
  <c r="E488" i="1"/>
  <c r="E487" i="1"/>
  <c r="E486" i="1"/>
  <c r="E485" i="1"/>
  <c r="E484" i="1"/>
  <c r="E483" i="1"/>
  <c r="E482" i="1"/>
  <c r="E479" i="1"/>
  <c r="E478" i="1"/>
  <c r="E477" i="1"/>
  <c r="E476" i="1"/>
  <c r="E475" i="1"/>
  <c r="E474" i="1"/>
  <c r="E473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39" i="1"/>
  <c r="E438" i="1"/>
  <c r="E437" i="1"/>
  <c r="E436" i="1"/>
  <c r="E435" i="1"/>
  <c r="E434" i="1"/>
  <c r="E433" i="1"/>
  <c r="E430" i="1"/>
  <c r="E429" i="1"/>
  <c r="E428" i="1"/>
  <c r="E427" i="1"/>
  <c r="E426" i="1"/>
  <c r="E425" i="1"/>
  <c r="E424" i="1"/>
  <c r="E423" i="1"/>
  <c r="E411" i="1"/>
  <c r="E410" i="1"/>
  <c r="E409" i="1"/>
  <c r="E408" i="1"/>
  <c r="E407" i="1"/>
  <c r="E406" i="1"/>
  <c r="E405" i="1"/>
  <c r="E404" i="1"/>
  <c r="E403" i="1"/>
  <c r="E402" i="1"/>
  <c r="E401" i="1" s="1"/>
  <c r="E386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4" i="1"/>
  <c r="E363" i="1"/>
  <c r="E362" i="1"/>
  <c r="E361" i="1"/>
  <c r="E360" i="1"/>
  <c r="E359" i="1"/>
  <c r="E358" i="1"/>
  <c r="E357" i="1"/>
  <c r="E356" i="1"/>
  <c r="E355" i="1"/>
  <c r="E354" i="1"/>
  <c r="E353" i="1" s="1"/>
  <c r="E350" i="1"/>
  <c r="E349" i="1"/>
  <c r="E348" i="1"/>
  <c r="E347" i="1"/>
  <c r="E346" i="1"/>
  <c r="E345" i="1"/>
  <c r="E344" i="1"/>
  <c r="E343" i="1"/>
  <c r="E342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 s="1"/>
  <c r="E431" i="1" l="1"/>
  <c r="E491" i="1"/>
  <c r="E480" i="1"/>
  <c r="E471" i="1"/>
  <c r="E440" i="1"/>
  <c r="E351" i="1"/>
  <c r="E365" i="1"/>
  <c r="E340" i="1"/>
  <c r="E412" i="1"/>
  <c r="E399" i="1"/>
  <c r="E313" i="1"/>
  <c r="E312" i="1"/>
  <c r="E311" i="1"/>
  <c r="E310" i="1"/>
  <c r="E309" i="1"/>
  <c r="E308" i="1"/>
  <c r="E307" i="1" s="1"/>
  <c r="E304" i="1"/>
  <c r="E303" i="1"/>
  <c r="E302" i="1"/>
  <c r="E301" i="1"/>
  <c r="E300" i="1"/>
  <c r="E299" i="1"/>
  <c r="E298" i="1"/>
  <c r="E297" i="1" s="1"/>
  <c r="E296" i="1"/>
  <c r="E295" i="1"/>
  <c r="E294" i="1"/>
  <c r="E293" i="1"/>
  <c r="E292" i="1"/>
  <c r="E291" i="1"/>
  <c r="E290" i="1"/>
  <c r="E289" i="1"/>
  <c r="E288" i="1"/>
  <c r="E287" i="1"/>
  <c r="E305" i="1" l="1"/>
  <c r="E314" i="1"/>
  <c r="E414" i="1"/>
  <c r="E284" i="1"/>
  <c r="E283" i="1"/>
  <c r="E282" i="1"/>
  <c r="E281" i="1"/>
  <c r="E280" i="1"/>
  <c r="E279" i="1"/>
  <c r="E278" i="1"/>
  <c r="E277" i="1"/>
  <c r="E276" i="1"/>
  <c r="E273" i="1"/>
  <c r="E272" i="1"/>
  <c r="E271" i="1"/>
  <c r="E270" i="1"/>
  <c r="E269" i="1"/>
  <c r="E268" i="1"/>
  <c r="E267" i="1"/>
  <c r="E265" i="1"/>
  <c r="E264" i="1"/>
  <c r="E263" i="1"/>
  <c r="E262" i="1"/>
  <c r="E285" i="1" l="1"/>
  <c r="E2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D10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Ideal time is 5mins or under. But with traffic, travel distance is btw 30mins to an hour.</t>
        </r>
      </text>
    </comment>
    <comment ref="D11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same as above.</t>
        </r>
      </text>
    </comment>
    <comment ref="D12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might take me 40 minutes to get there.</t>
        </r>
      </text>
    </comment>
    <comment ref="D13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might take me 25 minutes</t>
        </r>
      </text>
    </comment>
    <comment ref="D14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might take me 40 minutes due to traffic.</t>
        </r>
      </text>
    </comment>
    <comment ref="D15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sametime as Holy Marytre Memorial.</t>
        </r>
      </text>
    </comment>
    <comment ref="D16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sametime as Holy Marytre Memorial</t>
        </r>
      </text>
    </comment>
  </commentList>
</comments>
</file>

<file path=xl/sharedStrings.xml><?xml version="1.0" encoding="utf-8"?>
<sst xmlns="http://schemas.openxmlformats.org/spreadsheetml/2006/main" count="1166" uniqueCount="455">
  <si>
    <t>County</t>
  </si>
  <si>
    <t>Massacre Site</t>
  </si>
  <si>
    <t>Faction/s responsible</t>
  </si>
  <si>
    <t>Disaggregated by Gender</t>
  </si>
  <si>
    <t>Victims perceived ethno-religious identity</t>
  </si>
  <si>
    <t>Status of site—accessibility/daily public use</t>
  </si>
  <si>
    <t>Transitional Justice Response—Local and National</t>
  </si>
  <si>
    <t>Bomi</t>
  </si>
  <si>
    <t>Bong</t>
  </si>
  <si>
    <t>Gbarpolu</t>
  </si>
  <si>
    <t>Grand Bassa</t>
  </si>
  <si>
    <t>Cape Mount</t>
  </si>
  <si>
    <t>Grand Kru</t>
  </si>
  <si>
    <t>Grand Gedeh</t>
  </si>
  <si>
    <t>Lofa</t>
  </si>
  <si>
    <t>Montserrado</t>
  </si>
  <si>
    <t>Margibi</t>
  </si>
  <si>
    <t>Maryland</t>
  </si>
  <si>
    <t>Nimba</t>
  </si>
  <si>
    <t>Rivercess</t>
  </si>
  <si>
    <t>Rivergee</t>
  </si>
  <si>
    <t>Sinoe</t>
  </si>
  <si>
    <t>District</t>
  </si>
  <si>
    <t>Date/Year</t>
  </si>
  <si>
    <t>#</t>
  </si>
  <si>
    <t>Senjeh</t>
  </si>
  <si>
    <t>Dowein</t>
  </si>
  <si>
    <t>Demeh (Combat Camp)</t>
  </si>
  <si>
    <t>Klay</t>
  </si>
  <si>
    <t>Golodee Gaila</t>
  </si>
  <si>
    <t>Nyouwandee</t>
  </si>
  <si>
    <t>Tubmanburg</t>
  </si>
  <si>
    <t>St. Dominic Compound</t>
  </si>
  <si>
    <t>Bomi Police Station</t>
  </si>
  <si>
    <t>India Water, New Road</t>
  </si>
  <si>
    <t>Maher River Bridge</t>
  </si>
  <si>
    <t>Weakama</t>
  </si>
  <si>
    <t>Madina Football Field</t>
  </si>
  <si>
    <t>Suehn Mecca</t>
  </si>
  <si>
    <t>ULIMO-K</t>
  </si>
  <si>
    <t>ULIMO-J</t>
  </si>
  <si>
    <t>NG</t>
  </si>
  <si>
    <t>SOD</t>
  </si>
  <si>
    <t>1990*</t>
  </si>
  <si>
    <t>Gbah Jakeh*</t>
  </si>
  <si>
    <t>Gbojay*</t>
  </si>
  <si>
    <t>Jorquelleh</t>
  </si>
  <si>
    <t>Salala</t>
  </si>
  <si>
    <t>Sanoyeah</t>
  </si>
  <si>
    <t>Suakoko</t>
  </si>
  <si>
    <t>Zota</t>
  </si>
  <si>
    <t>Folonailah</t>
  </si>
  <si>
    <t>Kpolokpala</t>
  </si>
  <si>
    <t>Samay</t>
  </si>
  <si>
    <t>Gbonta</t>
  </si>
  <si>
    <t>Gbanah Ta</t>
  </si>
  <si>
    <t>Gweyea/Gyegamme</t>
  </si>
  <si>
    <t>Phebe Hospital</t>
  </si>
  <si>
    <t>Naame</t>
  </si>
  <si>
    <t>Gbarnga Iron Gate</t>
  </si>
  <si>
    <t>NPFL</t>
  </si>
  <si>
    <t>LPC</t>
  </si>
  <si>
    <t>LPC/NPFL</t>
  </si>
  <si>
    <t>AFL</t>
  </si>
  <si>
    <t>Belleh</t>
  </si>
  <si>
    <t>Bopolu</t>
  </si>
  <si>
    <t>Gbarma</t>
  </si>
  <si>
    <t>Bokomu Town</t>
  </si>
  <si>
    <t>Monlaquelleh Town</t>
  </si>
  <si>
    <t>Henry Town</t>
  </si>
  <si>
    <t>Media Town</t>
  </si>
  <si>
    <t>Fassama</t>
  </si>
  <si>
    <t>Zuoi</t>
  </si>
  <si>
    <t>Yangayah Town</t>
  </si>
  <si>
    <t>Vaye Town</t>
  </si>
  <si>
    <t>Sawmill Town</t>
  </si>
  <si>
    <t>Kongba</t>
  </si>
  <si>
    <t>Bopolu Town</t>
  </si>
  <si>
    <t>Totoquelleh</t>
  </si>
  <si>
    <t>Armada Town</t>
  </si>
  <si>
    <t>Konasu Town</t>
  </si>
  <si>
    <t>Gbarma Town</t>
  </si>
  <si>
    <t xml:space="preserve"> Weasua Town</t>
  </si>
  <si>
    <t>Mavator Town</t>
  </si>
  <si>
    <t>District #2</t>
  </si>
  <si>
    <t>District #3</t>
  </si>
  <si>
    <t>District #4</t>
  </si>
  <si>
    <t>Messeh Camp</t>
  </si>
  <si>
    <t>Pallapoe</t>
  </si>
  <si>
    <t>Civil Compound</t>
  </si>
  <si>
    <t>Kpue Town</t>
  </si>
  <si>
    <t>Yorcee Town</t>
  </si>
  <si>
    <t>Ben Town</t>
  </si>
  <si>
    <t>Bahn Town</t>
  </si>
  <si>
    <t>NPFL/Marine Unit</t>
  </si>
  <si>
    <t>NPFL/Kasaka</t>
  </si>
  <si>
    <t>Tewor</t>
  </si>
  <si>
    <t>Sanga Town</t>
  </si>
  <si>
    <t>Zwanii #1</t>
  </si>
  <si>
    <t>Gbesseh</t>
  </si>
  <si>
    <t>Tewor Mendimassa</t>
  </si>
  <si>
    <t>Ngojah</t>
  </si>
  <si>
    <t>Victoria Village</t>
  </si>
  <si>
    <t>Diah</t>
  </si>
  <si>
    <t>Sowee</t>
  </si>
  <si>
    <t>Jene Wonde</t>
  </si>
  <si>
    <t>Tiene</t>
  </si>
  <si>
    <t>ULIMO Forces</t>
  </si>
  <si>
    <t>ULIMO-J&amp;K</t>
  </si>
  <si>
    <t>Garwula</t>
  </si>
  <si>
    <t>Mehkor</t>
  </si>
  <si>
    <t>Gbaah Forboi</t>
  </si>
  <si>
    <t>Singey</t>
  </si>
  <si>
    <t>Dassalamu</t>
  </si>
  <si>
    <t>Common wealth</t>
  </si>
  <si>
    <t>Mandoe</t>
  </si>
  <si>
    <t>Apr. 28 &amp; Sept 17 1996</t>
  </si>
  <si>
    <t>Robertsport</t>
  </si>
  <si>
    <t>Gola Konneh</t>
  </si>
  <si>
    <t>Lofa Bridge</t>
  </si>
  <si>
    <t>Weajue</t>
  </si>
  <si>
    <t>Mbaloma</t>
  </si>
  <si>
    <t>Mecca</t>
  </si>
  <si>
    <t>Larjoh</t>
  </si>
  <si>
    <t>Porkpa</t>
  </si>
  <si>
    <t>Mano River</t>
  </si>
  <si>
    <t>Camp Israel</t>
  </si>
  <si>
    <t>Bamballa</t>
  </si>
  <si>
    <t>Buah</t>
  </si>
  <si>
    <t>Taybue</t>
  </si>
  <si>
    <t>Trien</t>
  </si>
  <si>
    <t>Blebo</t>
  </si>
  <si>
    <t>nearly the whole town was killed'</t>
  </si>
  <si>
    <t>Wropluken</t>
  </si>
  <si>
    <t>Jrao</t>
  </si>
  <si>
    <t xml:space="preserve">Dorbor </t>
  </si>
  <si>
    <t>more than 30 persons were killed</t>
  </si>
  <si>
    <t>Jolorh</t>
  </si>
  <si>
    <t>Dior</t>
  </si>
  <si>
    <t>Picnicess</t>
  </si>
  <si>
    <t>Sogbeh-Bo</t>
  </si>
  <si>
    <t>Barclaville</t>
  </si>
  <si>
    <t xml:space="preserve">Sasstown Beach </t>
  </si>
  <si>
    <t>Gbarzon</t>
  </si>
  <si>
    <t>Zalaken</t>
  </si>
  <si>
    <t>Pouh Town</t>
  </si>
  <si>
    <t>Gorluway</t>
  </si>
  <si>
    <t>Barh Town</t>
  </si>
  <si>
    <t>Konobo</t>
  </si>
  <si>
    <t>Boundary Town</t>
  </si>
  <si>
    <t>Gboluo Town</t>
  </si>
  <si>
    <t>Konobo Ziah Town</t>
  </si>
  <si>
    <t>Walbo Town</t>
  </si>
  <si>
    <t>Tchien</t>
  </si>
  <si>
    <t>Tubman Palace-Zwedru</t>
  </si>
  <si>
    <t>Bargblor Town</t>
  </si>
  <si>
    <t>Kumah Town</t>
  </si>
  <si>
    <t>Zaybay Town</t>
  </si>
  <si>
    <t>Salayea</t>
  </si>
  <si>
    <t>Danenama</t>
  </si>
  <si>
    <t>Passama</t>
  </si>
  <si>
    <t>LURD</t>
  </si>
  <si>
    <t>Zorzor</t>
  </si>
  <si>
    <t>Yeala</t>
  </si>
  <si>
    <t>ULIMO</t>
  </si>
  <si>
    <t>Worzi</t>
  </si>
  <si>
    <t>Balagwalazu</t>
  </si>
  <si>
    <t>LDF</t>
  </si>
  <si>
    <t>Voinjama</t>
  </si>
  <si>
    <t>Bakedu</t>
  </si>
  <si>
    <t>GoL/NPP</t>
  </si>
  <si>
    <t>Kuruka</t>
  </si>
  <si>
    <t>Selega</t>
  </si>
  <si>
    <t>Malamai</t>
  </si>
  <si>
    <t>Tenebu</t>
  </si>
  <si>
    <t>Lawalazu</t>
  </si>
  <si>
    <t>Jallamai</t>
  </si>
  <si>
    <t>Kpotomai</t>
  </si>
  <si>
    <t>Zowodami</t>
  </si>
  <si>
    <t>Kpankpalamai</t>
  </si>
  <si>
    <t>Vezela</t>
  </si>
  <si>
    <t>Kpakumai</t>
  </si>
  <si>
    <t>Jaryamai</t>
  </si>
  <si>
    <t>Nekebuzu</t>
  </si>
  <si>
    <t>Voimjama City (Black Monday)</t>
  </si>
  <si>
    <t>Kolahun</t>
  </si>
  <si>
    <t>Foya</t>
  </si>
  <si>
    <t>Kolba City</t>
  </si>
  <si>
    <t>Kailahum City</t>
  </si>
  <si>
    <t>Yandihum</t>
  </si>
  <si>
    <t>Populahun</t>
  </si>
  <si>
    <t>Fangonda</t>
  </si>
  <si>
    <t>Kamatahun</t>
  </si>
  <si>
    <t>Kambolahun</t>
  </si>
  <si>
    <t>Foya City</t>
  </si>
  <si>
    <t>Nigesakonja</t>
  </si>
  <si>
    <t>Vahun</t>
  </si>
  <si>
    <t>Folima</t>
  </si>
  <si>
    <t>Gbondomai</t>
  </si>
  <si>
    <t>Gogoma</t>
  </si>
  <si>
    <t>GoL</t>
  </si>
  <si>
    <t>Brewerville</t>
  </si>
  <si>
    <t>Moulton Corner</t>
  </si>
  <si>
    <t>Mandingo fighters</t>
  </si>
  <si>
    <t>Barclay Training Center</t>
  </si>
  <si>
    <t>Monrovia</t>
  </si>
  <si>
    <t>Lutheran Church -14th Street Sinkor</t>
  </si>
  <si>
    <t>Duport Road Waterside</t>
  </si>
  <si>
    <t>Duport Road Cow Field</t>
  </si>
  <si>
    <t>Paynesville</t>
  </si>
  <si>
    <t>Fendell Campus</t>
  </si>
  <si>
    <t>Grey Stone-Mamba Point</t>
  </si>
  <si>
    <t>ELWA Compound</t>
  </si>
  <si>
    <t>ETMI- Caldwell</t>
  </si>
  <si>
    <t>Bushrod Island</t>
  </si>
  <si>
    <t>Palm Grove Cemetry</t>
  </si>
  <si>
    <t>9 people including an entire family</t>
  </si>
  <si>
    <t>Aug. 1996</t>
  </si>
  <si>
    <t>Camp Two, Harbel</t>
  </si>
  <si>
    <t>Carter Camp</t>
  </si>
  <si>
    <t>Marshall Massacre</t>
  </si>
  <si>
    <t>Nyama Town Massacre</t>
  </si>
  <si>
    <t>Zoewein Town-Mambahn Chiefdom</t>
  </si>
  <si>
    <t>Senzohn Town</t>
  </si>
  <si>
    <t>Wheavien Town</t>
  </si>
  <si>
    <t>Harper</t>
  </si>
  <si>
    <t>Pleebo</t>
  </si>
  <si>
    <t>Karluway</t>
  </si>
  <si>
    <t xml:space="preserve">Barrobo </t>
  </si>
  <si>
    <t>Cavalla Massacres</t>
  </si>
  <si>
    <t>Fish Town Maasacre</t>
  </si>
  <si>
    <t>Ferguson Campus Massacre</t>
  </si>
  <si>
    <t>Pleebo Compound Hill Massacre</t>
  </si>
  <si>
    <t>Gbolobo Mission Town Massacre</t>
  </si>
  <si>
    <t>Pedebo Massacre</t>
  </si>
  <si>
    <t>Pleebo Diamond Light Massacre</t>
  </si>
  <si>
    <t>Baraken Methodist Church Massacre</t>
  </si>
  <si>
    <t>Boniken</t>
  </si>
  <si>
    <t>Warteken</t>
  </si>
  <si>
    <t>Glofaken (11 sites)</t>
  </si>
  <si>
    <t>PPF Headquaters/Yekepa</t>
  </si>
  <si>
    <t>Karnplay</t>
  </si>
  <si>
    <t>Lutheran church</t>
  </si>
  <si>
    <t>Constance Farm/Saclepea Highway</t>
  </si>
  <si>
    <t>CNC</t>
  </si>
  <si>
    <t>PPF Director/AFL</t>
  </si>
  <si>
    <t>GOL Forces</t>
  </si>
  <si>
    <t>Ganta</t>
  </si>
  <si>
    <t>(Monument/Prince Johnson)</t>
  </si>
  <si>
    <t>Yarnee</t>
  </si>
  <si>
    <t>Poweh</t>
  </si>
  <si>
    <t>Doe</t>
  </si>
  <si>
    <t>Gbokon/Garade</t>
  </si>
  <si>
    <t>ITI</t>
  </si>
  <si>
    <t>Krakpo</t>
  </si>
  <si>
    <t>Cestos City</t>
  </si>
  <si>
    <t>Banwon</t>
  </si>
  <si>
    <t>Bloe</t>
  </si>
  <si>
    <t>Wrobone</t>
  </si>
  <si>
    <t>Seah</t>
  </si>
  <si>
    <t>Barkey</t>
  </si>
  <si>
    <t>Neezuen</t>
  </si>
  <si>
    <t>Timbo</t>
  </si>
  <si>
    <t>Nyuenwuen</t>
  </si>
  <si>
    <t>Central 'C'</t>
  </si>
  <si>
    <t>Saywionwor</t>
  </si>
  <si>
    <t>Garpue</t>
  </si>
  <si>
    <t>Bodazar</t>
  </si>
  <si>
    <t>Zammie</t>
  </si>
  <si>
    <t>Gbardiah</t>
  </si>
  <si>
    <t>Gborwuzohn</t>
  </si>
  <si>
    <t>Firestone</t>
  </si>
  <si>
    <t>Teekpeh</t>
  </si>
  <si>
    <t>Sahn</t>
  </si>
  <si>
    <t>Jodo</t>
  </si>
  <si>
    <t>Zeegar</t>
  </si>
  <si>
    <t>Moweh</t>
  </si>
  <si>
    <t>Zaryea</t>
  </si>
  <si>
    <t>Budoin</t>
  </si>
  <si>
    <t>Gleozahn</t>
  </si>
  <si>
    <t>Boe</t>
  </si>
  <si>
    <t>Paye</t>
  </si>
  <si>
    <t>Karngbo</t>
  </si>
  <si>
    <t>NG*</t>
  </si>
  <si>
    <t xml:space="preserve">Sarbo </t>
  </si>
  <si>
    <t xml:space="preserve">Sarbo/Glarro </t>
  </si>
  <si>
    <t>Webbo</t>
  </si>
  <si>
    <t>Chedepo</t>
  </si>
  <si>
    <t>Gbaepo</t>
  </si>
  <si>
    <t>Wolfiken</t>
  </si>
  <si>
    <t>Yougbo</t>
  </si>
  <si>
    <t>Salla</t>
  </si>
  <si>
    <t>Gbaweleken</t>
  </si>
  <si>
    <t>Putuken</t>
  </si>
  <si>
    <t>Kanweaken Villages</t>
  </si>
  <si>
    <t>Killepo Kanweaken</t>
  </si>
  <si>
    <t>Pratt Farm</t>
  </si>
  <si>
    <t>Chebioh Town</t>
  </si>
  <si>
    <t>Elementary Demonstration  High School</t>
  </si>
  <si>
    <t>Saywonkan</t>
  </si>
  <si>
    <t>Po-River</t>
  </si>
  <si>
    <r>
      <t>Mississippi Street, Methodist 1</t>
    </r>
    <r>
      <rPr>
        <vertAlign val="superscript"/>
        <sz val="12"/>
        <color theme="1"/>
        <rFont val="Calibri"/>
        <family val="2"/>
        <scheme val="minor"/>
      </rPr>
      <t>st</t>
    </r>
    <r>
      <rPr>
        <sz val="12"/>
        <color theme="1"/>
        <rFont val="Calibri"/>
        <family val="2"/>
        <scheme val="minor"/>
      </rPr>
      <t xml:space="preserve"> Church </t>
    </r>
  </si>
  <si>
    <t>Jedep</t>
  </si>
  <si>
    <t>Greenville</t>
  </si>
  <si>
    <t>Butaw</t>
  </si>
  <si>
    <t>Sayklapo</t>
  </si>
  <si>
    <t>ENI Peace Conference</t>
  </si>
  <si>
    <t>MODEL</t>
  </si>
  <si>
    <t xml:space="preserve"> Charles Taylor Family Memorial Lutheran Church Memorial</t>
  </si>
  <si>
    <t>April 22, Memorial Group/Commemorative Event</t>
  </si>
  <si>
    <t>1) Holy Martyrs Catholic Church; 2) Sr. Shirley Kolmer Memorial High School; 3) Sr. Barbara Ann Clinic</t>
  </si>
  <si>
    <t>Barnervilles--Catholic Nuns Compound</t>
  </si>
  <si>
    <t xml:space="preserve">‘Investigating Local-Level Practices of Memorialization in Liberia: </t>
  </si>
  <si>
    <t>Examining Sites of Massacres and Memorials from 1979 to October 2017’ --A Database on sites of massacares ande memorialisation in Liberia (1979-2003)'</t>
  </si>
  <si>
    <t xml:space="preserve">Fieldwork Logistics </t>
  </si>
  <si>
    <t>St Dominic Compound</t>
  </si>
  <si>
    <t>Bomi County</t>
  </si>
  <si>
    <t xml:space="preserve">Location </t>
  </si>
  <si>
    <t>Lutheran Church Memorial</t>
  </si>
  <si>
    <t>Duport Road Memorial</t>
  </si>
  <si>
    <t>April 22 Memorial</t>
  </si>
  <si>
    <t>Holy Marytre Memorial</t>
  </si>
  <si>
    <t>Prince Johnson Memorial</t>
  </si>
  <si>
    <t xml:space="preserve">Barbara Ann Memorial Clinic </t>
  </si>
  <si>
    <t>Shelly Kolmer Memorial High School</t>
  </si>
  <si>
    <t>Kpolopkala Memorial</t>
  </si>
  <si>
    <t>Samay Memorial</t>
  </si>
  <si>
    <t>Phebe Memorial</t>
  </si>
  <si>
    <t>Memorial Sites</t>
  </si>
  <si>
    <t>Origin/University of Liberia</t>
  </si>
  <si>
    <t>Destination/County</t>
  </si>
  <si>
    <t>3:30Mins</t>
  </si>
  <si>
    <t>Thomas Quiwonkpa Memorial</t>
  </si>
  <si>
    <t>Massacre Sites</t>
  </si>
  <si>
    <t>Location</t>
  </si>
  <si>
    <t>Origin/Univesity of Liberia</t>
  </si>
  <si>
    <t>Destination /County</t>
  </si>
  <si>
    <t>River Cess</t>
  </si>
  <si>
    <t>Grand Cap Mount</t>
  </si>
  <si>
    <t>6Hours</t>
  </si>
  <si>
    <t>2Hours</t>
  </si>
  <si>
    <t>4Hours</t>
  </si>
  <si>
    <t xml:space="preserve">Bakedu </t>
  </si>
  <si>
    <t>1:30mins</t>
  </si>
  <si>
    <t>3:30mins</t>
  </si>
  <si>
    <t>2:10mins</t>
  </si>
  <si>
    <t>5mins</t>
  </si>
  <si>
    <t>15mins</t>
  </si>
  <si>
    <t>3:35mins</t>
  </si>
  <si>
    <t>Memorial Site</t>
  </si>
  <si>
    <t>Philip Taylor Memorial (located in the same compound as Lutheran Church)</t>
  </si>
  <si>
    <t>Examining Sites of Massacres and Memorials from 1979 to October 2017’ --A Database on sites of massacares ande memorialisation in Liberia'</t>
  </si>
  <si>
    <t>Monrovia to Nimba</t>
  </si>
  <si>
    <t>UL to Barnerville</t>
  </si>
  <si>
    <t>UL to Duport Road</t>
  </si>
  <si>
    <t>UL to 14th Street</t>
  </si>
  <si>
    <t xml:space="preserve">Monrovia to Suakoko/Bong County </t>
  </si>
  <si>
    <t>Monrovia to Bong County</t>
  </si>
  <si>
    <t>UL to Congo Town/Monorovia</t>
  </si>
  <si>
    <t>Monrovia to Bomi</t>
  </si>
  <si>
    <t>Obayama Town (Gbayama)</t>
  </si>
  <si>
    <t>Bellekpama Town (Bellekpamu)</t>
  </si>
  <si>
    <t>Massacre site</t>
  </si>
  <si>
    <t>Total Killed</t>
  </si>
  <si>
    <t>Grand total</t>
  </si>
  <si>
    <t xml:space="preserve">Grand Bassa </t>
  </si>
  <si>
    <t xml:space="preserve">Grand Total </t>
  </si>
  <si>
    <t xml:space="preserve">Grand Gedeh </t>
  </si>
  <si>
    <t xml:space="preserve">Lofa </t>
  </si>
  <si>
    <t xml:space="preserve">Maryland </t>
  </si>
  <si>
    <t xml:space="preserve">Rivercess </t>
  </si>
  <si>
    <t>Revergee</t>
  </si>
  <si>
    <t xml:space="preserve">Grand total </t>
  </si>
  <si>
    <t xml:space="preserve">Sinoe </t>
  </si>
  <si>
    <t xml:space="preserve">Grand  Total </t>
  </si>
  <si>
    <t>Summary</t>
  </si>
  <si>
    <t>atr</t>
  </si>
  <si>
    <t>Gardnersville</t>
  </si>
  <si>
    <t>5 Catholics nuns massacred</t>
  </si>
  <si>
    <t>Capitol Hill</t>
  </si>
  <si>
    <t>Executive Mansion</t>
  </si>
  <si>
    <t>27 persons massacred including President Tolbert</t>
  </si>
  <si>
    <t>April 22, Memorial Group/Commemorative Event but excludes victims of indigenous heritage</t>
  </si>
  <si>
    <t>Central Monrovia</t>
  </si>
  <si>
    <t>LNP</t>
  </si>
  <si>
    <t>more than 100 persons were massacred</t>
  </si>
  <si>
    <t>Progressive Maryts of Liberia</t>
  </si>
  <si>
    <t>unknown</t>
  </si>
  <si>
    <t>PRC</t>
  </si>
  <si>
    <t>13 soldiers found guilty by a military tribunal and secretly executed</t>
  </si>
  <si>
    <t>four soldiers massacred by firing squad withouth trial</t>
  </si>
  <si>
    <t>1983*</t>
  </si>
  <si>
    <t>John F. Kennedy Hospital</t>
  </si>
  <si>
    <t>250 civilians majority Gios and Manos</t>
  </si>
  <si>
    <t>150/600</t>
  </si>
  <si>
    <t>ECOMOG/NPFL</t>
  </si>
  <si>
    <t>UN Compound</t>
  </si>
  <si>
    <t>30 Gios and Manos abducted from the UN Compound and massacred</t>
  </si>
  <si>
    <t>May 1990*</t>
  </si>
  <si>
    <t>June 1981*</t>
  </si>
  <si>
    <t>Kpotomai Memorial, Lofa County, 2019/2020</t>
  </si>
  <si>
    <t>?</t>
  </si>
  <si>
    <t>6 Senegalese Soldier massacred by?</t>
  </si>
  <si>
    <t>114 persons massacred men</t>
  </si>
  <si>
    <t xml:space="preserve">March 1993* </t>
  </si>
  <si>
    <t>300 persons of the Lorma ethnic group were massacred</t>
  </si>
  <si>
    <t>July 1993*</t>
  </si>
  <si>
    <t xml:space="preserve">20 Civilians were massacred </t>
  </si>
  <si>
    <t>Tubmanburg Memorial (state-sponsored)</t>
  </si>
  <si>
    <t>Maher Bridge Memorial (state-sponsored)</t>
  </si>
  <si>
    <t>Samay Memorial  (grassroots- led)</t>
  </si>
  <si>
    <t>Kpolokpala  Memorial (grassroots-led)</t>
  </si>
  <si>
    <t>Phebe Memorial Community grassroots-led)</t>
  </si>
  <si>
    <t>Bailah</t>
  </si>
  <si>
    <t>St. John River</t>
  </si>
  <si>
    <t>20 men, women and children were thrown in the St. John River</t>
  </si>
  <si>
    <t>Naama Town Memorial (state-sponsored)</t>
  </si>
  <si>
    <t>Duport Road Memorial (state-sponsored)</t>
  </si>
  <si>
    <t>Duport Road Memorial (grassroots-led)</t>
  </si>
  <si>
    <t>US Embassy Memorial (Graystone Masscre)</t>
  </si>
  <si>
    <t>Behn Town Memorial (State-sponsored)</t>
  </si>
  <si>
    <t>Bopolu Memorial (state-sponsored)</t>
  </si>
  <si>
    <t>Sinje Memorial (State-sponsored)</t>
  </si>
  <si>
    <t>Bloh Town Memorial (state-sponsored)</t>
  </si>
  <si>
    <t>9 church ministers were massacred in Greenville</t>
  </si>
  <si>
    <t>18 Civilians massacred</t>
  </si>
  <si>
    <t>January 1995*</t>
  </si>
  <si>
    <t>Zuanna Town andn Bloan Town</t>
  </si>
  <si>
    <t>12 massacred in internally displaced camps</t>
  </si>
  <si>
    <t>Jendemana</t>
  </si>
  <si>
    <t>9 forestry workers  massacred</t>
  </si>
  <si>
    <t>200 civilians massacred</t>
  </si>
  <si>
    <t>NPFL/GOL</t>
  </si>
  <si>
    <t>hundreds of unarmed civilians massacred by GOL and NPFL rebels.</t>
  </si>
  <si>
    <t>NPFL/LPC</t>
  </si>
  <si>
    <t>Media Town-on the football field</t>
  </si>
  <si>
    <t>Totoquelleh Town</t>
  </si>
  <si>
    <t>Armada Town [Amadu Town]</t>
  </si>
  <si>
    <t>Obayama Town [Gbayama]</t>
  </si>
  <si>
    <t>Bellekpama Town [Bellekpamu]</t>
  </si>
  <si>
    <t>Warring Factions or perpetrator group</t>
  </si>
  <si>
    <t>Estimated number of persons massacred</t>
  </si>
  <si>
    <t>Perceived ethno-religious identity</t>
  </si>
  <si>
    <t>Disaggregated by gender</t>
  </si>
  <si>
    <t>Status of the site-accessibility</t>
  </si>
  <si>
    <t>Transitional Justice Response-Local and National</t>
  </si>
  <si>
    <t>Massacre sites</t>
  </si>
  <si>
    <t>Warring Faction/perpetrator group</t>
  </si>
  <si>
    <t>Transitional Justice Response--Local and National</t>
  </si>
  <si>
    <t>district</t>
  </si>
  <si>
    <t>Grassroot-led commemorative ritual</t>
  </si>
  <si>
    <t xml:space="preserve">Sinje Memorial (Grassroot-led) Islamic commemorative rites </t>
  </si>
  <si>
    <t>Kpotomai Memorial,(State-sponsored) Lofa County, 2019/2020</t>
  </si>
  <si>
    <t>Grassroot-led Memorial -Islamic commemorative ritual</t>
  </si>
  <si>
    <t>Estimated number massacred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</si>
</sst>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dams"/>
      <family val="2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Adams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7090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3" borderId="0" applyNumberFormat="0" applyBorder="0" applyAlignment="0" applyProtection="0"/>
  </cellStyleXfs>
  <cellXfs count="190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12" fillId="0" borderId="0" xfId="0" applyFont="1"/>
    <xf numFmtId="0" fontId="0" fillId="0" borderId="1" xfId="0" applyBorder="1"/>
    <xf numFmtId="0" fontId="12" fillId="0" borderId="1" xfId="0" applyFont="1" applyBorder="1"/>
    <xf numFmtId="20" fontId="0" fillId="0" borderId="1" xfId="0" applyNumberFormat="1" applyBorder="1"/>
    <xf numFmtId="0" fontId="0" fillId="0" borderId="8" xfId="0" applyBorder="1"/>
    <xf numFmtId="0" fontId="16" fillId="0" borderId="1" xfId="0" applyFont="1" applyBorder="1"/>
    <xf numFmtId="0" fontId="4" fillId="4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0" borderId="0" xfId="0" applyFont="1"/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9" fillId="0" borderId="6" xfId="1" applyFont="1" applyFill="1" applyBorder="1" applyAlignment="1">
      <alignment horizontal="center"/>
    </xf>
    <xf numFmtId="0" fontId="19" fillId="0" borderId="6" xfId="1" applyFont="1" applyFill="1" applyBorder="1" applyAlignment="1">
      <alignment horizontal="center" wrapText="1"/>
    </xf>
    <xf numFmtId="0" fontId="19" fillId="0" borderId="7" xfId="1" applyFont="1" applyFill="1" applyBorder="1" applyAlignment="1">
      <alignment horizontal="center" wrapText="1"/>
    </xf>
    <xf numFmtId="0" fontId="19" fillId="0" borderId="1" xfId="1" applyFont="1" applyFill="1" applyBorder="1" applyAlignment="1">
      <alignment horizontal="center"/>
    </xf>
    <xf numFmtId="0" fontId="19" fillId="0" borderId="0" xfId="1" applyFont="1" applyFill="1" applyAlignment="1">
      <alignment horizontal="center"/>
    </xf>
    <xf numFmtId="0" fontId="6" fillId="0" borderId="9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6" fillId="5" borderId="1" xfId="0" applyFont="1" applyFill="1" applyBorder="1"/>
    <xf numFmtId="0" fontId="18" fillId="5" borderId="1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6" fillId="7" borderId="1" xfId="0" applyFont="1" applyFill="1" applyBorder="1"/>
    <xf numFmtId="0" fontId="18" fillId="7" borderId="1" xfId="0" applyFont="1" applyFill="1" applyBorder="1" applyAlignment="1">
      <alignment horizontal="left"/>
    </xf>
    <xf numFmtId="0" fontId="7" fillId="7" borderId="1" xfId="0" applyFont="1" applyFill="1" applyBorder="1"/>
    <xf numFmtId="0" fontId="7" fillId="7" borderId="1" xfId="0" applyFont="1" applyFill="1" applyBorder="1" applyAlignment="1">
      <alignment wrapText="1"/>
    </xf>
    <xf numFmtId="0" fontId="6" fillId="7" borderId="1" xfId="0" applyFont="1" applyFill="1" applyBorder="1" applyAlignment="1">
      <alignment horizontal="right"/>
    </xf>
    <xf numFmtId="0" fontId="6" fillId="7" borderId="3" xfId="0" applyFont="1" applyFill="1" applyBorder="1" applyAlignment="1">
      <alignment horizontal="center"/>
    </xf>
    <xf numFmtId="15" fontId="6" fillId="7" borderId="1" xfId="0" applyNumberFormat="1" applyFont="1" applyFill="1" applyBorder="1"/>
    <xf numFmtId="0" fontId="6" fillId="7" borderId="9" xfId="0" applyFont="1" applyFill="1" applyBorder="1"/>
    <xf numFmtId="0" fontId="7" fillId="7" borderId="9" xfId="0" applyFont="1" applyFill="1" applyBorder="1"/>
    <xf numFmtId="0" fontId="7" fillId="7" borderId="9" xfId="0" applyFont="1" applyFill="1" applyBorder="1" applyAlignment="1">
      <alignment wrapText="1"/>
    </xf>
    <xf numFmtId="0" fontId="6" fillId="7" borderId="9" xfId="0" applyFont="1" applyFill="1" applyBorder="1" applyAlignment="1">
      <alignment horizontal="right"/>
    </xf>
    <xf numFmtId="0" fontId="6" fillId="7" borderId="2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left"/>
    </xf>
    <xf numFmtId="0" fontId="6" fillId="6" borderId="1" xfId="0" applyFont="1" applyFill="1" applyBorder="1"/>
    <xf numFmtId="0" fontId="6" fillId="6" borderId="3" xfId="0" applyFont="1" applyFill="1" applyBorder="1" applyAlignment="1">
      <alignment horizontal="center"/>
    </xf>
    <xf numFmtId="0" fontId="19" fillId="0" borderId="1" xfId="0" applyFont="1" applyBorder="1"/>
    <xf numFmtId="0" fontId="18" fillId="8" borderId="1" xfId="0" applyFont="1" applyFill="1" applyBorder="1" applyAlignment="1">
      <alignment horizontal="left"/>
    </xf>
    <xf numFmtId="0" fontId="6" fillId="8" borderId="1" xfId="0" applyFont="1" applyFill="1" applyBorder="1"/>
    <xf numFmtId="0" fontId="19" fillId="8" borderId="1" xfId="0" applyFont="1" applyFill="1" applyBorder="1"/>
    <xf numFmtId="0" fontId="6" fillId="8" borderId="3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left"/>
    </xf>
    <xf numFmtId="0" fontId="18" fillId="9" borderId="1" xfId="0" applyFont="1" applyFill="1" applyBorder="1" applyAlignment="1">
      <alignment horizontal="left"/>
    </xf>
    <xf numFmtId="0" fontId="6" fillId="9" borderId="1" xfId="0" applyFont="1" applyFill="1" applyBorder="1"/>
    <xf numFmtId="0" fontId="6" fillId="9" borderId="1" xfId="0" applyFont="1" applyFill="1" applyBorder="1" applyAlignment="1">
      <alignment wrapText="1"/>
    </xf>
    <xf numFmtId="0" fontId="6" fillId="9" borderId="3" xfId="0" applyFont="1" applyFill="1" applyBorder="1" applyAlignment="1">
      <alignment horizontal="center"/>
    </xf>
    <xf numFmtId="15" fontId="6" fillId="8" borderId="1" xfId="0" applyNumberFormat="1" applyFont="1" applyFill="1" applyBorder="1"/>
    <xf numFmtId="0" fontId="6" fillId="8" borderId="1" xfId="0" applyFont="1" applyFill="1" applyBorder="1" applyAlignment="1">
      <alignment wrapText="1"/>
    </xf>
    <xf numFmtId="0" fontId="18" fillId="10" borderId="1" xfId="0" applyFont="1" applyFill="1" applyBorder="1" applyAlignment="1">
      <alignment horizontal="left"/>
    </xf>
    <xf numFmtId="0" fontId="6" fillId="10" borderId="1" xfId="0" applyFont="1" applyFill="1" applyBorder="1"/>
    <xf numFmtId="0" fontId="6" fillId="10" borderId="3" xfId="0" applyFont="1" applyFill="1" applyBorder="1" applyAlignment="1">
      <alignment horizontal="center"/>
    </xf>
    <xf numFmtId="17" fontId="6" fillId="10" borderId="1" xfId="0" applyNumberFormat="1" applyFont="1" applyFill="1" applyBorder="1"/>
    <xf numFmtId="15" fontId="6" fillId="10" borderId="1" xfId="0" applyNumberFormat="1" applyFont="1" applyFill="1" applyBorder="1"/>
    <xf numFmtId="0" fontId="6" fillId="10" borderId="1" xfId="0" applyFont="1" applyFill="1" applyBorder="1" applyAlignment="1">
      <alignment horizontal="right" wrapText="1"/>
    </xf>
    <xf numFmtId="0" fontId="6" fillId="10" borderId="1" xfId="0" applyFont="1" applyFill="1" applyBorder="1" applyAlignment="1">
      <alignment wrapText="1"/>
    </xf>
    <xf numFmtId="0" fontId="6" fillId="8" borderId="1" xfId="0" quotePrefix="1" applyFont="1" applyFill="1" applyBorder="1" applyAlignment="1">
      <alignment wrapText="1"/>
    </xf>
    <xf numFmtId="0" fontId="18" fillId="11" borderId="1" xfId="0" applyFont="1" applyFill="1" applyBorder="1" applyAlignment="1">
      <alignment horizontal="left"/>
    </xf>
    <xf numFmtId="0" fontId="6" fillId="11" borderId="1" xfId="0" applyFont="1" applyFill="1" applyBorder="1"/>
    <xf numFmtId="0" fontId="6" fillId="11" borderId="3" xfId="0" applyFont="1" applyFill="1" applyBorder="1" applyAlignment="1">
      <alignment horizontal="center"/>
    </xf>
    <xf numFmtId="0" fontId="6" fillId="11" borderId="1" xfId="0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  <xf numFmtId="0" fontId="18" fillId="12" borderId="1" xfId="0" applyFont="1" applyFill="1" applyBorder="1" applyAlignment="1">
      <alignment horizontal="left"/>
    </xf>
    <xf numFmtId="0" fontId="6" fillId="12" borderId="1" xfId="0" applyFont="1" applyFill="1" applyBorder="1"/>
    <xf numFmtId="0" fontId="6" fillId="12" borderId="3" xfId="0" applyFont="1" applyFill="1" applyBorder="1" applyAlignment="1">
      <alignment horizontal="center"/>
    </xf>
    <xf numFmtId="0" fontId="6" fillId="12" borderId="1" xfId="0" applyFont="1" applyFill="1" applyBorder="1" applyAlignment="1">
      <alignment wrapText="1"/>
    </xf>
    <xf numFmtId="0" fontId="18" fillId="13" borderId="1" xfId="0" applyFont="1" applyFill="1" applyBorder="1" applyAlignment="1">
      <alignment horizontal="left"/>
    </xf>
    <xf numFmtId="0" fontId="6" fillId="13" borderId="1" xfId="0" applyFont="1" applyFill="1" applyBorder="1"/>
    <xf numFmtId="0" fontId="6" fillId="13" borderId="3" xfId="0" applyFont="1" applyFill="1" applyBorder="1" applyAlignment="1">
      <alignment horizontal="center"/>
    </xf>
    <xf numFmtId="15" fontId="6" fillId="10" borderId="0" xfId="0" applyNumberFormat="1" applyFont="1" applyFill="1"/>
    <xf numFmtId="0" fontId="6" fillId="10" borderId="0" xfId="0" applyFont="1" applyFill="1" applyAlignment="1">
      <alignment horizontal="right"/>
    </xf>
    <xf numFmtId="0" fontId="6" fillId="10" borderId="3" xfId="0" applyFont="1" applyFill="1" applyBorder="1" applyAlignment="1">
      <alignment horizontal="center" wrapText="1"/>
    </xf>
    <xf numFmtId="15" fontId="6" fillId="10" borderId="1" xfId="0" applyNumberFormat="1" applyFont="1" applyFill="1" applyBorder="1" applyAlignment="1">
      <alignment horizontal="right"/>
    </xf>
    <xf numFmtId="0" fontId="8" fillId="11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right"/>
    </xf>
    <xf numFmtId="17" fontId="6" fillId="6" borderId="1" xfId="0" applyNumberFormat="1" applyFont="1" applyFill="1" applyBorder="1"/>
    <xf numFmtId="0" fontId="4" fillId="6" borderId="1" xfId="0" applyFont="1" applyFill="1" applyBorder="1" applyAlignment="1">
      <alignment horizontal="right"/>
    </xf>
    <xf numFmtId="0" fontId="20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13" borderId="1" xfId="0" applyFont="1" applyFill="1" applyBorder="1" applyAlignment="1">
      <alignment wrapText="1"/>
    </xf>
    <xf numFmtId="0" fontId="3" fillId="13" borderId="1" xfId="0" applyFont="1" applyFill="1" applyBorder="1"/>
    <xf numFmtId="0" fontId="2" fillId="0" borderId="3" xfId="0" applyFont="1" applyBorder="1"/>
    <xf numFmtId="0" fontId="21" fillId="10" borderId="1" xfId="0" applyFont="1" applyFill="1" applyBorder="1" applyAlignment="1">
      <alignment horizontal="left"/>
    </xf>
    <xf numFmtId="0" fontId="2" fillId="10" borderId="5" xfId="0" applyFont="1" applyFill="1" applyBorder="1"/>
    <xf numFmtId="0" fontId="2" fillId="10" borderId="1" xfId="0" applyFont="1" applyFill="1" applyBorder="1"/>
    <xf numFmtId="15" fontId="2" fillId="10" borderId="1" xfId="0" applyNumberFormat="1" applyFont="1" applyFill="1" applyBorder="1" applyAlignment="1">
      <alignment horizontal="right"/>
    </xf>
    <xf numFmtId="0" fontId="2" fillId="10" borderId="3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wrapText="1"/>
    </xf>
    <xf numFmtId="0" fontId="2" fillId="10" borderId="5" xfId="0" applyFont="1" applyFill="1" applyBorder="1" applyAlignment="1">
      <alignment wrapText="1"/>
    </xf>
    <xf numFmtId="0" fontId="2" fillId="0" borderId="5" xfId="0" applyFont="1" applyBorder="1"/>
    <xf numFmtId="0" fontId="2" fillId="10" borderId="1" xfId="0" applyFont="1" applyFill="1" applyBorder="1" applyAlignment="1">
      <alignment wrapText="1" shrinkToFit="1"/>
    </xf>
    <xf numFmtId="0" fontId="21" fillId="0" borderId="1" xfId="0" applyFont="1" applyBorder="1" applyAlignment="1">
      <alignment horizontal="left"/>
    </xf>
    <xf numFmtId="0" fontId="2" fillId="0" borderId="1" xfId="0" applyFont="1" applyBorder="1"/>
    <xf numFmtId="0" fontId="2" fillId="13" borderId="3" xfId="0" applyFont="1" applyFill="1" applyBorder="1" applyAlignment="1">
      <alignment horizontal="center"/>
    </xf>
    <xf numFmtId="0" fontId="21" fillId="13" borderId="1" xfId="0" applyFont="1" applyFill="1" applyBorder="1" applyAlignment="1">
      <alignment horizontal="left"/>
    </xf>
    <xf numFmtId="0" fontId="2" fillId="13" borderId="5" xfId="0" applyFont="1" applyFill="1" applyBorder="1"/>
    <xf numFmtId="0" fontId="2" fillId="13" borderId="1" xfId="0" applyFont="1" applyFill="1" applyBorder="1"/>
    <xf numFmtId="0" fontId="2" fillId="13" borderId="1" xfId="0" applyFont="1" applyFill="1" applyBorder="1" applyAlignment="1">
      <alignment horizontal="right"/>
    </xf>
    <xf numFmtId="17" fontId="2" fillId="13" borderId="1" xfId="0" applyNumberFormat="1" applyFont="1" applyFill="1" applyBorder="1" applyAlignment="1">
      <alignment horizontal="right"/>
    </xf>
    <xf numFmtId="0" fontId="2" fillId="5" borderId="1" xfId="0" applyFont="1" applyFill="1" applyBorder="1"/>
    <xf numFmtId="0" fontId="2" fillId="5" borderId="3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 wrapText="1"/>
    </xf>
    <xf numFmtId="0" fontId="21" fillId="5" borderId="1" xfId="0" applyFont="1" applyFill="1" applyBorder="1" applyAlignment="1">
      <alignment horizontal="left"/>
    </xf>
    <xf numFmtId="0" fontId="2" fillId="5" borderId="5" xfId="0" applyFont="1" applyFill="1" applyBorder="1"/>
    <xf numFmtId="17" fontId="2" fillId="5" borderId="1" xfId="0" applyNumberFormat="1" applyFont="1" applyFill="1" applyBorder="1"/>
    <xf numFmtId="0" fontId="2" fillId="10" borderId="3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1" fillId="6" borderId="1" xfId="0" applyFont="1" applyFill="1" applyBorder="1" applyAlignment="1">
      <alignment horizontal="left"/>
    </xf>
    <xf numFmtId="0" fontId="2" fillId="6" borderId="5" xfId="0" applyFont="1" applyFill="1" applyBorder="1"/>
    <xf numFmtId="0" fontId="2" fillId="6" borderId="0" xfId="0" applyFont="1" applyFill="1"/>
    <xf numFmtId="0" fontId="2" fillId="6" borderId="1" xfId="0" applyFont="1" applyFill="1" applyBorder="1"/>
    <xf numFmtId="0" fontId="2" fillId="6" borderId="3" xfId="0" applyFont="1" applyFill="1" applyBorder="1"/>
    <xf numFmtId="0" fontId="2" fillId="6" borderId="1" xfId="0" applyFont="1" applyFill="1" applyBorder="1" applyAlignment="1">
      <alignment wrapText="1"/>
    </xf>
    <xf numFmtId="15" fontId="2" fillId="6" borderId="1" xfId="0" applyNumberFormat="1" applyFont="1" applyFill="1" applyBorder="1"/>
    <xf numFmtId="0" fontId="21" fillId="8" borderId="1" xfId="0" applyFont="1" applyFill="1" applyBorder="1" applyAlignment="1">
      <alignment horizontal="left"/>
    </xf>
    <xf numFmtId="0" fontId="2" fillId="8" borderId="5" xfId="0" applyFont="1" applyFill="1" applyBorder="1"/>
    <xf numFmtId="0" fontId="2" fillId="8" borderId="1" xfId="0" applyFont="1" applyFill="1" applyBorder="1"/>
    <xf numFmtId="15" fontId="2" fillId="8" borderId="1" xfId="0" applyNumberFormat="1" applyFont="1" applyFill="1" applyBorder="1" applyAlignment="1">
      <alignment horizontal="right"/>
    </xf>
    <xf numFmtId="0" fontId="21" fillId="7" borderId="1" xfId="0" applyFont="1" applyFill="1" applyBorder="1" applyAlignment="1">
      <alignment horizontal="left"/>
    </xf>
    <xf numFmtId="0" fontId="2" fillId="7" borderId="5" xfId="0" applyFont="1" applyFill="1" applyBorder="1"/>
    <xf numFmtId="0" fontId="2" fillId="7" borderId="9" xfId="0" applyFont="1" applyFill="1" applyBorder="1"/>
    <xf numFmtId="0" fontId="2" fillId="7" borderId="1" xfId="0" applyFont="1" applyFill="1" applyBorder="1"/>
    <xf numFmtId="0" fontId="2" fillId="7" borderId="1" xfId="0" applyFont="1" applyFill="1" applyBorder="1" applyAlignment="1">
      <alignment horizontal="right"/>
    </xf>
    <xf numFmtId="15" fontId="2" fillId="7" borderId="1" xfId="0" applyNumberFormat="1" applyFont="1" applyFill="1" applyBorder="1" applyAlignment="1">
      <alignment horizontal="right"/>
    </xf>
    <xf numFmtId="15" fontId="2" fillId="10" borderId="1" xfId="0" applyNumberFormat="1" applyFont="1" applyFill="1" applyBorder="1"/>
    <xf numFmtId="17" fontId="2" fillId="8" borderId="1" xfId="0" applyNumberFormat="1" applyFont="1" applyFill="1" applyBorder="1"/>
    <xf numFmtId="0" fontId="2" fillId="6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/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wrapText="1"/>
    </xf>
    <xf numFmtId="0" fontId="2" fillId="4" borderId="3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10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 wrapText="1"/>
    </xf>
    <xf numFmtId="0" fontId="1" fillId="1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Accent1" xfId="1" builtinId="29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dams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600"/>
      <color rgb="FF99CC00"/>
      <color rgb="FFCCFF99"/>
      <color rgb="FF709079"/>
      <color rgb="FF3399FF"/>
      <color rgb="FFFF7C80"/>
      <color rgb="FF663300"/>
      <color rgb="FF33CC33"/>
      <color rgb="FFCC33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alcChain" Target="calcChain.xml"/><Relationship Id="rId5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Summary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Database!$D$276:$D$284</c:f>
              <c:strCache>
                <c:ptCount val="9"/>
                <c:pt idx="0">
                  <c:v>Folonailah</c:v>
                </c:pt>
                <c:pt idx="1">
                  <c:v>Kpolokpala</c:v>
                </c:pt>
                <c:pt idx="2">
                  <c:v>Samay</c:v>
                </c:pt>
                <c:pt idx="3">
                  <c:v>Gbonta</c:v>
                </c:pt>
                <c:pt idx="4">
                  <c:v>Gbanah Ta</c:v>
                </c:pt>
                <c:pt idx="5">
                  <c:v>Gweyea/Gyegamme</c:v>
                </c:pt>
                <c:pt idx="6">
                  <c:v>Phebe Hospital</c:v>
                </c:pt>
                <c:pt idx="7">
                  <c:v>Naame</c:v>
                </c:pt>
                <c:pt idx="8">
                  <c:v>Gbarnga Iron Gate</c:v>
                </c:pt>
              </c:strCache>
            </c:strRef>
          </c:cat>
          <c:val>
            <c:numRef>
              <c:f>Database!$E$276:$E$284</c:f>
              <c:numCache>
                <c:formatCode>General</c:formatCode>
                <c:ptCount val="9"/>
                <c:pt idx="0">
                  <c:v>100</c:v>
                </c:pt>
                <c:pt idx="1">
                  <c:v>750</c:v>
                </c:pt>
                <c:pt idx="2">
                  <c:v>500</c:v>
                </c:pt>
                <c:pt idx="3">
                  <c:v>125</c:v>
                </c:pt>
                <c:pt idx="4">
                  <c:v>50</c:v>
                </c:pt>
                <c:pt idx="5">
                  <c:v>500</c:v>
                </c:pt>
                <c:pt idx="6">
                  <c:v>100</c:v>
                </c:pt>
                <c:pt idx="7">
                  <c:v>1000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F-9D4C-A0D1-0DF9EE3D308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300916872"/>
        <c:axId val="254001032"/>
      </c:barChart>
      <c:catAx>
        <c:axId val="300916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001032"/>
        <c:crosses val="autoZero"/>
        <c:auto val="1"/>
        <c:lblAlgn val="ctr"/>
        <c:lblOffset val="100"/>
        <c:noMultiLvlLbl val="0"/>
      </c:catAx>
      <c:valAx>
        <c:axId val="254001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916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Summary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Database!$D$367:$D$398</c:f>
              <c:strCache>
                <c:ptCount val="32"/>
                <c:pt idx="0">
                  <c:v>Danenama</c:v>
                </c:pt>
                <c:pt idx="1">
                  <c:v>Passama</c:v>
                </c:pt>
                <c:pt idx="2">
                  <c:v>Yeala</c:v>
                </c:pt>
                <c:pt idx="3">
                  <c:v>Worzi</c:v>
                </c:pt>
                <c:pt idx="4">
                  <c:v>Balagwalazu</c:v>
                </c:pt>
                <c:pt idx="5">
                  <c:v>Bakedu</c:v>
                </c:pt>
                <c:pt idx="6">
                  <c:v>Kuruka</c:v>
                </c:pt>
                <c:pt idx="7">
                  <c:v>Selega</c:v>
                </c:pt>
                <c:pt idx="8">
                  <c:v>Malamai</c:v>
                </c:pt>
                <c:pt idx="9">
                  <c:v>Tenebu</c:v>
                </c:pt>
                <c:pt idx="10">
                  <c:v>Lawalazu</c:v>
                </c:pt>
                <c:pt idx="11">
                  <c:v>Jallamai</c:v>
                </c:pt>
                <c:pt idx="12">
                  <c:v>Kpotomai</c:v>
                </c:pt>
                <c:pt idx="13">
                  <c:v>Zowodami</c:v>
                </c:pt>
                <c:pt idx="14">
                  <c:v>Kpankpalamai</c:v>
                </c:pt>
                <c:pt idx="15">
                  <c:v>Vezela</c:v>
                </c:pt>
                <c:pt idx="16">
                  <c:v>Kpakumai</c:v>
                </c:pt>
                <c:pt idx="17">
                  <c:v>Jaryamai</c:v>
                </c:pt>
                <c:pt idx="18">
                  <c:v>Nekebuzu</c:v>
                </c:pt>
                <c:pt idx="19">
                  <c:v>Voimjama City (Black Monday)</c:v>
                </c:pt>
                <c:pt idx="20">
                  <c:v>Kolba City</c:v>
                </c:pt>
                <c:pt idx="21">
                  <c:v>Kailahum City</c:v>
                </c:pt>
                <c:pt idx="22">
                  <c:v>Yandihum</c:v>
                </c:pt>
                <c:pt idx="23">
                  <c:v>Populahun</c:v>
                </c:pt>
                <c:pt idx="24">
                  <c:v>Fangonda</c:v>
                </c:pt>
                <c:pt idx="25">
                  <c:v>Kamatahun</c:v>
                </c:pt>
                <c:pt idx="26">
                  <c:v>Kambolahun</c:v>
                </c:pt>
                <c:pt idx="27">
                  <c:v>Foya City</c:v>
                </c:pt>
                <c:pt idx="28">
                  <c:v>Nigesakonja</c:v>
                </c:pt>
                <c:pt idx="29">
                  <c:v>Folima</c:v>
                </c:pt>
                <c:pt idx="30">
                  <c:v>Gbondomai</c:v>
                </c:pt>
                <c:pt idx="31">
                  <c:v>Gogoma</c:v>
                </c:pt>
              </c:strCache>
            </c:strRef>
          </c:cat>
          <c:val>
            <c:numRef>
              <c:f>Database!$E$367:$E$398</c:f>
              <c:numCache>
                <c:formatCode>General</c:formatCode>
                <c:ptCount val="32"/>
                <c:pt idx="0">
                  <c:v>213</c:v>
                </c:pt>
                <c:pt idx="1">
                  <c:v>112</c:v>
                </c:pt>
                <c:pt idx="2">
                  <c:v>86</c:v>
                </c:pt>
                <c:pt idx="3">
                  <c:v>75</c:v>
                </c:pt>
                <c:pt idx="4">
                  <c:v>100</c:v>
                </c:pt>
                <c:pt idx="5">
                  <c:v>387</c:v>
                </c:pt>
                <c:pt idx="6">
                  <c:v>27</c:v>
                </c:pt>
                <c:pt idx="7">
                  <c:v>47</c:v>
                </c:pt>
                <c:pt idx="8">
                  <c:v>142</c:v>
                </c:pt>
                <c:pt idx="9">
                  <c:v>86</c:v>
                </c:pt>
                <c:pt idx="10">
                  <c:v>55</c:v>
                </c:pt>
                <c:pt idx="11">
                  <c:v>47</c:v>
                </c:pt>
                <c:pt idx="12">
                  <c:v>40</c:v>
                </c:pt>
                <c:pt idx="13">
                  <c:v>37</c:v>
                </c:pt>
                <c:pt idx="14">
                  <c:v>11</c:v>
                </c:pt>
                <c:pt idx="15">
                  <c:v>25</c:v>
                </c:pt>
                <c:pt idx="16">
                  <c:v>20</c:v>
                </c:pt>
                <c:pt idx="17">
                  <c:v>60</c:v>
                </c:pt>
                <c:pt idx="18">
                  <c:v>27</c:v>
                </c:pt>
                <c:pt idx="19">
                  <c:v>750</c:v>
                </c:pt>
                <c:pt idx="20">
                  <c:v>550</c:v>
                </c:pt>
                <c:pt idx="21">
                  <c:v>0</c:v>
                </c:pt>
                <c:pt idx="22">
                  <c:v>100</c:v>
                </c:pt>
                <c:pt idx="23">
                  <c:v>100</c:v>
                </c:pt>
                <c:pt idx="24">
                  <c:v>36</c:v>
                </c:pt>
                <c:pt idx="25">
                  <c:v>147</c:v>
                </c:pt>
                <c:pt idx="26">
                  <c:v>300</c:v>
                </c:pt>
                <c:pt idx="27">
                  <c:v>45</c:v>
                </c:pt>
                <c:pt idx="28">
                  <c:v>27</c:v>
                </c:pt>
                <c:pt idx="29">
                  <c:v>130</c:v>
                </c:pt>
                <c:pt idx="30">
                  <c:v>207</c:v>
                </c:pt>
                <c:pt idx="3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B-8D49-8C18-FFDE623B7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999072"/>
        <c:axId val="254001816"/>
      </c:barChart>
      <c:catAx>
        <c:axId val="2539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001816"/>
        <c:crosses val="autoZero"/>
        <c:auto val="1"/>
        <c:lblAlgn val="ctr"/>
        <c:lblOffset val="100"/>
        <c:noMultiLvlLbl val="0"/>
      </c:catAx>
      <c:valAx>
        <c:axId val="254001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9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Chart</a:t>
            </a:r>
            <a:r>
              <a:rPr lang="en-GB" baseline="0"/>
              <a:t> 2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2C-5743-A76D-5084C6EDEAB0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42C-5743-A76D-5084C6EDEAB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42C-5743-A76D-5084C6EDEAB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42C-5743-A76D-5084C6EDEAB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42C-5743-A76D-5084C6EDEAB0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42C-5743-A76D-5084C6EDEAB0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42C-5743-A76D-5084C6EDEA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Database!$D$442:$D$470</c:f>
              <c:strCache>
                <c:ptCount val="29"/>
                <c:pt idx="0">
                  <c:v>Poweh</c:v>
                </c:pt>
                <c:pt idx="1">
                  <c:v>Doe</c:v>
                </c:pt>
                <c:pt idx="2">
                  <c:v>Gbokon/Garade</c:v>
                </c:pt>
                <c:pt idx="3">
                  <c:v>ITI</c:v>
                </c:pt>
                <c:pt idx="4">
                  <c:v>Krakpo</c:v>
                </c:pt>
                <c:pt idx="5">
                  <c:v>Cestos City</c:v>
                </c:pt>
                <c:pt idx="6">
                  <c:v>Banwon</c:v>
                </c:pt>
                <c:pt idx="7">
                  <c:v>Bloe</c:v>
                </c:pt>
                <c:pt idx="8">
                  <c:v>Wrobone</c:v>
                </c:pt>
                <c:pt idx="9">
                  <c:v>Seah</c:v>
                </c:pt>
                <c:pt idx="10">
                  <c:v>Barkey</c:v>
                </c:pt>
                <c:pt idx="11">
                  <c:v>Neezuen</c:v>
                </c:pt>
                <c:pt idx="12">
                  <c:v>Saywionwor</c:v>
                </c:pt>
                <c:pt idx="13">
                  <c:v>Garpue</c:v>
                </c:pt>
                <c:pt idx="14">
                  <c:v>Bodazar</c:v>
                </c:pt>
                <c:pt idx="15">
                  <c:v>Zammie</c:v>
                </c:pt>
                <c:pt idx="16">
                  <c:v>Gbardiah</c:v>
                </c:pt>
                <c:pt idx="17">
                  <c:v>Gborwuzohn</c:v>
                </c:pt>
                <c:pt idx="18">
                  <c:v>Firestone</c:v>
                </c:pt>
                <c:pt idx="19">
                  <c:v>Teekpeh</c:v>
                </c:pt>
                <c:pt idx="20">
                  <c:v>Sahn</c:v>
                </c:pt>
                <c:pt idx="21">
                  <c:v>Jodo</c:v>
                </c:pt>
                <c:pt idx="22">
                  <c:v>Zeegar</c:v>
                </c:pt>
                <c:pt idx="23">
                  <c:v>Zaryea</c:v>
                </c:pt>
                <c:pt idx="24">
                  <c:v>Budoin</c:v>
                </c:pt>
                <c:pt idx="25">
                  <c:v>Gleozahn</c:v>
                </c:pt>
                <c:pt idx="26">
                  <c:v>Boe</c:v>
                </c:pt>
                <c:pt idx="27">
                  <c:v>Paye</c:v>
                </c:pt>
                <c:pt idx="28">
                  <c:v>Karngbo</c:v>
                </c:pt>
              </c:strCache>
            </c:strRef>
          </c:cat>
          <c:val>
            <c:numRef>
              <c:f>Database!$E$442:$E$470</c:f>
              <c:numCache>
                <c:formatCode>General</c:formatCode>
                <c:ptCount val="29"/>
                <c:pt idx="0">
                  <c:v>9</c:v>
                </c:pt>
                <c:pt idx="1">
                  <c:v>10</c:v>
                </c:pt>
                <c:pt idx="2">
                  <c:v>26</c:v>
                </c:pt>
                <c:pt idx="3">
                  <c:v>100</c:v>
                </c:pt>
                <c:pt idx="4">
                  <c:v>15</c:v>
                </c:pt>
                <c:pt idx="5">
                  <c:v>6</c:v>
                </c:pt>
                <c:pt idx="6">
                  <c:v>120</c:v>
                </c:pt>
                <c:pt idx="7">
                  <c:v>560</c:v>
                </c:pt>
                <c:pt idx="8">
                  <c:v>37</c:v>
                </c:pt>
                <c:pt idx="9">
                  <c:v>7</c:v>
                </c:pt>
                <c:pt idx="10">
                  <c:v>75</c:v>
                </c:pt>
                <c:pt idx="11">
                  <c:v>60</c:v>
                </c:pt>
                <c:pt idx="12">
                  <c:v>24</c:v>
                </c:pt>
                <c:pt idx="13">
                  <c:v>12</c:v>
                </c:pt>
                <c:pt idx="14">
                  <c:v>14</c:v>
                </c:pt>
                <c:pt idx="15">
                  <c:v>400</c:v>
                </c:pt>
                <c:pt idx="16">
                  <c:v>0</c:v>
                </c:pt>
                <c:pt idx="17">
                  <c:v>128</c:v>
                </c:pt>
                <c:pt idx="18">
                  <c:v>16</c:v>
                </c:pt>
                <c:pt idx="19">
                  <c:v>44</c:v>
                </c:pt>
                <c:pt idx="20">
                  <c:v>9</c:v>
                </c:pt>
                <c:pt idx="21">
                  <c:v>13</c:v>
                </c:pt>
                <c:pt idx="22">
                  <c:v>18</c:v>
                </c:pt>
                <c:pt idx="23">
                  <c:v>21</c:v>
                </c:pt>
                <c:pt idx="24">
                  <c:v>7</c:v>
                </c:pt>
                <c:pt idx="25">
                  <c:v>70</c:v>
                </c:pt>
                <c:pt idx="26">
                  <c:v>100</c:v>
                </c:pt>
                <c:pt idx="27">
                  <c:v>10</c:v>
                </c:pt>
                <c:pt idx="2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3-8F46-AA73-01C628B3FD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4002600"/>
        <c:axId val="253999464"/>
      </c:barChart>
      <c:catAx>
        <c:axId val="254002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99464"/>
        <c:crosses val="autoZero"/>
        <c:auto val="1"/>
        <c:lblAlgn val="ctr"/>
        <c:lblOffset val="100"/>
        <c:noMultiLvlLbl val="0"/>
      </c:catAx>
      <c:valAx>
        <c:axId val="253999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4002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Summary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Database!$D$482:$D$490</c:f>
              <c:strCache>
                <c:ptCount val="8"/>
                <c:pt idx="0">
                  <c:v>Pratt Farm</c:v>
                </c:pt>
                <c:pt idx="1">
                  <c:v>Chebioh Town</c:v>
                </c:pt>
                <c:pt idx="2">
                  <c:v>Elementary Demonstration  High School</c:v>
                </c:pt>
                <c:pt idx="3">
                  <c:v>Saywonkan</c:v>
                </c:pt>
                <c:pt idx="4">
                  <c:v>Po-River</c:v>
                </c:pt>
                <c:pt idx="5">
                  <c:v>Mississippi Street, Methodist 1st Church </c:v>
                </c:pt>
                <c:pt idx="6">
                  <c:v>Sayklapo</c:v>
                </c:pt>
                <c:pt idx="7">
                  <c:v>ENI Peace Conference</c:v>
                </c:pt>
              </c:strCache>
            </c:strRef>
          </c:cat>
          <c:val>
            <c:numRef>
              <c:f>Database!$E$482:$E$490</c:f>
              <c:numCache>
                <c:formatCode>General</c:formatCode>
                <c:ptCount val="9"/>
                <c:pt idx="0">
                  <c:v>42</c:v>
                </c:pt>
                <c:pt idx="1">
                  <c:v>125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0</c:v>
                </c:pt>
                <c:pt idx="6">
                  <c:v>14</c:v>
                </c:pt>
                <c:pt idx="7">
                  <c:v>500</c:v>
                </c:pt>
                <c:pt idx="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7-CF45-AA25-959766660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191592"/>
        <c:axId val="301197080"/>
      </c:barChart>
      <c:catAx>
        <c:axId val="301191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197080"/>
        <c:crosses val="autoZero"/>
        <c:auto val="1"/>
        <c:lblAlgn val="ctr"/>
        <c:lblOffset val="100"/>
        <c:noMultiLvlLbl val="0"/>
      </c:catAx>
      <c:valAx>
        <c:axId val="30119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191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>
    <tabColor rgb="FFFF6600"/>
  </sheetPr>
  <sheetViews>
    <sheetView zoomScale="11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rgb="FF7030A0"/>
  </sheetPr>
  <sheetViews>
    <sheetView zoomScale="13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theme="9" tint="-0.249977111117893"/>
  </sheetPr>
  <sheetViews>
    <sheetView zoomScale="156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FFFF00"/>
  </sheetPr>
  <sheetViews>
    <sheetView zoomScale="25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7182" cy="608445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077" cy="607646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34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9960" cy="60717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256" totalsRowShown="0" headerRowDxfId="14" dataDxfId="12" headerRowBorderDxfId="13" tableBorderDxfId="11">
  <tableColumns count="11">
    <tableColumn id="1" xr3:uid="{00000000-0010-0000-0000-000001000000}" name="#" dataDxfId="10"/>
    <tableColumn id="2" xr3:uid="{00000000-0010-0000-0000-000002000000}" name="County" dataDxfId="9"/>
    <tableColumn id="3" xr3:uid="{00000000-0010-0000-0000-000003000000}" name="District" dataDxfId="8"/>
    <tableColumn id="4" xr3:uid="{00000000-0010-0000-0000-000004000000}" name="Massacre Site" dataDxfId="7"/>
    <tableColumn id="5" xr3:uid="{00000000-0010-0000-0000-000005000000}" name="Faction/s responsible" dataDxfId="6"/>
    <tableColumn id="6" xr3:uid="{00000000-0010-0000-0000-000006000000}" name="Estimated number massacred" dataDxfId="5"/>
    <tableColumn id="7" xr3:uid="{00000000-0010-0000-0000-000007000000}" name="Disaggregated by Gender" dataDxfId="4"/>
    <tableColumn id="8" xr3:uid="{00000000-0010-0000-0000-000008000000}" name="Victims perceived ethno-religious identity" dataDxfId="3"/>
    <tableColumn id="9" xr3:uid="{00000000-0010-0000-0000-000009000000}" name="Date/Year" dataDxfId="2"/>
    <tableColumn id="10" xr3:uid="{00000000-0010-0000-0000-00000A000000}" name="Status of site—accessibility/daily public use" dataDxfId="1"/>
    <tableColumn id="11" xr3:uid="{00000000-0010-0000-0000-00000B000000}" name="Transitional Justice Response—Local and Nation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R491"/>
  <sheetViews>
    <sheetView tabSelected="1" zoomScale="92" zoomScaleNormal="92" zoomScaleSheetLayoutView="190" workbookViewId="0">
      <selection activeCell="G3" sqref="G3"/>
    </sheetView>
  </sheetViews>
  <sheetFormatPr baseColWidth="10" defaultColWidth="8.6640625" defaultRowHeight="16" outlineLevelRow="1"/>
  <cols>
    <col min="1" max="1" width="8.6640625" style="1"/>
    <col min="2" max="2" width="19.5" style="21" customWidth="1"/>
    <col min="3" max="3" width="13.5" style="1" customWidth="1"/>
    <col min="4" max="4" width="29.5" style="1" customWidth="1"/>
    <col min="5" max="5" width="15.1640625" style="1" customWidth="1"/>
    <col min="6" max="6" width="17.1640625" style="1" customWidth="1"/>
    <col min="7" max="7" width="15" style="1" customWidth="1"/>
    <col min="8" max="8" width="20" style="1" customWidth="1"/>
    <col min="9" max="9" width="17.1640625" style="1" customWidth="1"/>
    <col min="10" max="10" width="19.5" style="1" customWidth="1"/>
    <col min="11" max="11" width="45" style="1" customWidth="1"/>
    <col min="12" max="12" width="8.1640625" style="1" hidden="1" customWidth="1"/>
    <col min="13" max="13" width="8.6640625" style="1" hidden="1" customWidth="1"/>
    <col min="14" max="14" width="0.5" style="1" hidden="1" customWidth="1"/>
    <col min="15" max="18" width="8.6640625" style="1" hidden="1" customWidth="1"/>
    <col min="19" max="16384" width="8.6640625" style="1"/>
  </cols>
  <sheetData>
    <row r="1" spans="1:18" ht="29.5" customHeight="1">
      <c r="A1" s="171" t="s">
        <v>312</v>
      </c>
      <c r="B1" s="172"/>
      <c r="C1" s="172"/>
      <c r="D1" s="172"/>
      <c r="E1" s="172"/>
      <c r="F1" s="172"/>
      <c r="G1" s="172"/>
      <c r="H1" s="172"/>
      <c r="I1" s="172"/>
      <c r="J1" s="172"/>
      <c r="K1" s="173"/>
      <c r="L1" s="3"/>
      <c r="M1" s="3"/>
      <c r="N1" s="3"/>
      <c r="O1" s="3"/>
      <c r="P1" s="3"/>
      <c r="Q1" s="3"/>
      <c r="R1" s="3"/>
    </row>
    <row r="2" spans="1:18" ht="29.5" customHeight="1">
      <c r="A2" s="171" t="s">
        <v>313</v>
      </c>
      <c r="B2" s="172"/>
      <c r="C2" s="172"/>
      <c r="D2" s="172"/>
      <c r="E2" s="172"/>
      <c r="F2" s="172"/>
      <c r="G2" s="172"/>
      <c r="H2" s="172"/>
      <c r="I2" s="172"/>
      <c r="J2" s="172"/>
      <c r="K2" s="173"/>
      <c r="L2" s="3"/>
      <c r="M2" s="3"/>
      <c r="N2" s="3"/>
      <c r="O2" s="3"/>
      <c r="P2" s="3"/>
      <c r="Q2" s="3"/>
      <c r="R2" s="3"/>
    </row>
    <row r="3" spans="1:18" s="26" customFormat="1" ht="60" customHeight="1">
      <c r="A3" s="22" t="s">
        <v>24</v>
      </c>
      <c r="B3" s="22" t="s">
        <v>0</v>
      </c>
      <c r="C3" s="22" t="s">
        <v>22</v>
      </c>
      <c r="D3" s="23" t="s">
        <v>1</v>
      </c>
      <c r="E3" s="23" t="s">
        <v>2</v>
      </c>
      <c r="F3" s="23" t="s">
        <v>454</v>
      </c>
      <c r="G3" s="23" t="s">
        <v>3</v>
      </c>
      <c r="H3" s="23" t="s">
        <v>4</v>
      </c>
      <c r="I3" s="22" t="s">
        <v>23</v>
      </c>
      <c r="J3" s="23" t="s">
        <v>5</v>
      </c>
      <c r="K3" s="24" t="s">
        <v>6</v>
      </c>
      <c r="L3" s="25"/>
      <c r="M3" s="25"/>
      <c r="N3" s="25"/>
      <c r="O3" s="25"/>
      <c r="P3" s="25"/>
      <c r="Q3" s="25"/>
      <c r="R3" s="25"/>
    </row>
    <row r="4" spans="1:18" ht="21">
      <c r="A4" s="4">
        <v>1</v>
      </c>
      <c r="B4" s="20" t="s">
        <v>7</v>
      </c>
      <c r="C4" s="30"/>
      <c r="D4" s="30"/>
      <c r="E4" s="4"/>
      <c r="F4" s="2"/>
      <c r="G4" s="4"/>
      <c r="H4" s="4"/>
      <c r="I4" s="4"/>
      <c r="J4" s="4"/>
      <c r="K4" s="7"/>
      <c r="L4" s="5"/>
      <c r="M4" s="5"/>
      <c r="N4" s="5"/>
      <c r="O4" s="5"/>
      <c r="P4" s="5"/>
      <c r="Q4" s="5"/>
      <c r="R4" s="5"/>
    </row>
    <row r="5" spans="1:18" ht="18" customHeight="1" outlineLevel="1">
      <c r="A5" s="4"/>
      <c r="B5" s="42"/>
      <c r="C5" s="43" t="s">
        <v>26</v>
      </c>
      <c r="D5" s="44" t="s">
        <v>27</v>
      </c>
      <c r="E5" s="41"/>
      <c r="F5" s="45" t="s">
        <v>41</v>
      </c>
      <c r="G5" s="41" t="s">
        <v>41</v>
      </c>
      <c r="H5" s="41" t="s">
        <v>41</v>
      </c>
      <c r="I5" s="41">
        <v>2003</v>
      </c>
      <c r="J5" s="41"/>
      <c r="K5" s="46"/>
      <c r="L5" s="5"/>
      <c r="M5" s="5"/>
      <c r="N5" s="5"/>
      <c r="O5" s="5"/>
      <c r="P5" s="5"/>
      <c r="Q5" s="5"/>
      <c r="R5" s="5"/>
    </row>
    <row r="6" spans="1:18" ht="18" customHeight="1" outlineLevel="1">
      <c r="A6" s="4"/>
      <c r="B6" s="42"/>
      <c r="C6" s="43" t="s">
        <v>28</v>
      </c>
      <c r="D6" s="43" t="s">
        <v>29</v>
      </c>
      <c r="E6" s="41"/>
      <c r="F6" s="45" t="s">
        <v>41</v>
      </c>
      <c r="G6" s="41" t="s">
        <v>41</v>
      </c>
      <c r="H6" s="41" t="s">
        <v>41</v>
      </c>
      <c r="I6" s="45" t="s">
        <v>41</v>
      </c>
      <c r="J6" s="41"/>
      <c r="K6" s="46"/>
      <c r="L6" s="5"/>
      <c r="M6" s="5"/>
      <c r="N6" s="5"/>
      <c r="O6" s="5"/>
      <c r="P6" s="5"/>
      <c r="Q6" s="5"/>
      <c r="R6" s="5"/>
    </row>
    <row r="7" spans="1:18" ht="18" customHeight="1" outlineLevel="1">
      <c r="A7" s="4"/>
      <c r="B7" s="42"/>
      <c r="C7" s="43" t="s">
        <v>28</v>
      </c>
      <c r="D7" s="43" t="s">
        <v>30</v>
      </c>
      <c r="E7" s="41" t="s">
        <v>39</v>
      </c>
      <c r="F7" s="45">
        <v>83</v>
      </c>
      <c r="G7" s="41" t="s">
        <v>41</v>
      </c>
      <c r="H7" s="41" t="s">
        <v>41</v>
      </c>
      <c r="I7" s="41">
        <v>1994</v>
      </c>
      <c r="J7" s="41"/>
      <c r="K7" s="46"/>
      <c r="L7" s="5"/>
      <c r="M7" s="5"/>
      <c r="N7" s="5"/>
      <c r="O7" s="5"/>
      <c r="P7" s="5"/>
      <c r="Q7" s="5"/>
      <c r="R7" s="5"/>
    </row>
    <row r="8" spans="1:18" ht="18" customHeight="1" outlineLevel="1">
      <c r="A8" s="4"/>
      <c r="B8" s="42"/>
      <c r="C8" s="43" t="s">
        <v>25</v>
      </c>
      <c r="D8" s="43" t="s">
        <v>44</v>
      </c>
      <c r="E8" s="41"/>
      <c r="F8" s="45" t="s">
        <v>42</v>
      </c>
      <c r="G8" s="41" t="s">
        <v>41</v>
      </c>
      <c r="H8" s="41" t="s">
        <v>41</v>
      </c>
      <c r="I8" s="41">
        <v>1990</v>
      </c>
      <c r="J8" s="41"/>
      <c r="K8" s="46"/>
      <c r="L8" s="5"/>
      <c r="M8" s="5"/>
      <c r="N8" s="5"/>
      <c r="O8" s="5"/>
      <c r="P8" s="5"/>
      <c r="Q8" s="5"/>
      <c r="R8" s="5"/>
    </row>
    <row r="9" spans="1:18" ht="18" customHeight="1" outlineLevel="1">
      <c r="A9" s="4"/>
      <c r="B9" s="42"/>
      <c r="C9" s="43" t="s">
        <v>25</v>
      </c>
      <c r="D9" s="43" t="s">
        <v>31</v>
      </c>
      <c r="E9" s="41" t="s">
        <v>40</v>
      </c>
      <c r="F9" s="45">
        <v>1000</v>
      </c>
      <c r="G9" s="41" t="s">
        <v>41</v>
      </c>
      <c r="H9" s="41" t="s">
        <v>41</v>
      </c>
      <c r="I9" s="47">
        <v>35427</v>
      </c>
      <c r="J9" s="41"/>
      <c r="K9" s="46"/>
      <c r="L9" s="5"/>
      <c r="M9" s="5"/>
      <c r="N9" s="5"/>
      <c r="O9" s="5"/>
      <c r="P9" s="5"/>
      <c r="Q9" s="5"/>
      <c r="R9" s="5"/>
    </row>
    <row r="10" spans="1:18" ht="18" customHeight="1" outlineLevel="1">
      <c r="A10" s="4"/>
      <c r="B10" s="42"/>
      <c r="C10" s="43" t="s">
        <v>25</v>
      </c>
      <c r="D10" s="44" t="s">
        <v>32</v>
      </c>
      <c r="E10" s="41"/>
      <c r="F10" s="45">
        <v>300</v>
      </c>
      <c r="G10" s="41"/>
      <c r="H10" s="41" t="s">
        <v>41</v>
      </c>
      <c r="I10" s="41">
        <v>1996</v>
      </c>
      <c r="J10" s="46"/>
      <c r="K10" s="125" t="s">
        <v>408</v>
      </c>
      <c r="L10" s="5"/>
      <c r="M10" s="5"/>
      <c r="N10" s="5"/>
      <c r="O10" s="5"/>
      <c r="P10" s="5"/>
      <c r="Q10" s="5"/>
      <c r="R10" s="5"/>
    </row>
    <row r="11" spans="1:18" ht="18" customHeight="1" outlineLevel="1">
      <c r="A11" s="4"/>
      <c r="B11" s="42"/>
      <c r="C11" s="43" t="s">
        <v>25</v>
      </c>
      <c r="D11" s="43" t="s">
        <v>33</v>
      </c>
      <c r="E11" s="41"/>
      <c r="F11" s="45" t="s">
        <v>41</v>
      </c>
      <c r="G11" s="41" t="s">
        <v>41</v>
      </c>
      <c r="H11" s="41" t="s">
        <v>41</v>
      </c>
      <c r="I11" s="41">
        <v>1990</v>
      </c>
      <c r="J11" s="41"/>
      <c r="K11" s="46"/>
      <c r="L11" s="5"/>
      <c r="M11" s="5"/>
      <c r="N11" s="5"/>
      <c r="O11" s="5"/>
      <c r="P11" s="5"/>
      <c r="Q11" s="5"/>
      <c r="R11" s="5"/>
    </row>
    <row r="12" spans="1:18" ht="18" customHeight="1" outlineLevel="1">
      <c r="A12" s="4"/>
      <c r="B12" s="42"/>
      <c r="C12" s="43" t="s">
        <v>25</v>
      </c>
      <c r="D12" s="44" t="s">
        <v>34</v>
      </c>
      <c r="E12" s="41"/>
      <c r="F12" s="45" t="s">
        <v>41</v>
      </c>
      <c r="G12" s="41" t="s">
        <v>41</v>
      </c>
      <c r="H12" s="41" t="s">
        <v>41</v>
      </c>
      <c r="I12" s="41">
        <v>1990</v>
      </c>
      <c r="J12" s="41"/>
      <c r="K12" s="46"/>
      <c r="L12" s="5"/>
      <c r="M12" s="5"/>
      <c r="N12" s="5"/>
      <c r="O12" s="5"/>
      <c r="P12" s="5"/>
      <c r="Q12" s="5"/>
      <c r="R12" s="5"/>
    </row>
    <row r="13" spans="1:18" ht="18" customHeight="1" outlineLevel="1">
      <c r="A13" s="4"/>
      <c r="B13" s="42"/>
      <c r="C13" s="43" t="s">
        <v>25</v>
      </c>
      <c r="D13" s="43" t="s">
        <v>35</v>
      </c>
      <c r="E13" s="41"/>
      <c r="F13" s="45" t="s">
        <v>41</v>
      </c>
      <c r="G13" s="41"/>
      <c r="H13" s="41" t="s">
        <v>41</v>
      </c>
      <c r="I13" s="41">
        <v>2002</v>
      </c>
      <c r="J13" s="41"/>
      <c r="K13" s="126" t="s">
        <v>409</v>
      </c>
      <c r="L13" s="5"/>
      <c r="M13" s="5"/>
      <c r="N13" s="5"/>
      <c r="O13" s="5"/>
      <c r="P13" s="5"/>
      <c r="Q13" s="5"/>
      <c r="R13" s="5"/>
    </row>
    <row r="14" spans="1:18" ht="18" customHeight="1" outlineLevel="1">
      <c r="A14" s="4"/>
      <c r="B14" s="42"/>
      <c r="C14" s="43" t="s">
        <v>25</v>
      </c>
      <c r="D14" s="43" t="s">
        <v>36</v>
      </c>
      <c r="E14" s="41"/>
      <c r="F14" s="45" t="s">
        <v>41</v>
      </c>
      <c r="G14" s="41" t="s">
        <v>41</v>
      </c>
      <c r="H14" s="41" t="s">
        <v>41</v>
      </c>
      <c r="I14" s="41">
        <v>2003</v>
      </c>
      <c r="J14" s="41"/>
      <c r="K14" s="46"/>
      <c r="L14" s="5"/>
      <c r="M14" s="5"/>
      <c r="N14" s="5"/>
      <c r="O14" s="5"/>
      <c r="P14" s="5"/>
      <c r="Q14" s="5"/>
      <c r="R14" s="5"/>
    </row>
    <row r="15" spans="1:18" ht="18" customHeight="1" outlineLevel="1">
      <c r="A15" s="4"/>
      <c r="B15" s="42"/>
      <c r="C15" s="43" t="s">
        <v>38</v>
      </c>
      <c r="D15" s="43" t="s">
        <v>45</v>
      </c>
      <c r="E15" s="41"/>
      <c r="F15" s="45" t="s">
        <v>41</v>
      </c>
      <c r="G15" s="41" t="s">
        <v>41</v>
      </c>
      <c r="H15" s="41" t="s">
        <v>41</v>
      </c>
      <c r="I15" s="45" t="s">
        <v>43</v>
      </c>
      <c r="J15" s="41"/>
      <c r="K15" s="46"/>
      <c r="L15" s="5"/>
      <c r="M15" s="5"/>
      <c r="N15" s="5"/>
      <c r="O15" s="5"/>
      <c r="P15" s="5"/>
      <c r="Q15" s="5"/>
      <c r="R15" s="5"/>
    </row>
    <row r="16" spans="1:18" ht="18" customHeight="1" outlineLevel="1">
      <c r="A16" s="105"/>
      <c r="B16" s="145"/>
      <c r="C16" s="146"/>
      <c r="D16" s="147" t="s">
        <v>427</v>
      </c>
      <c r="E16" s="148" t="s">
        <v>401</v>
      </c>
      <c r="F16" s="149" t="s">
        <v>428</v>
      </c>
      <c r="G16" s="148"/>
      <c r="H16" s="148"/>
      <c r="I16" s="150">
        <v>35173</v>
      </c>
      <c r="J16" s="148"/>
      <c r="K16" s="125"/>
      <c r="L16" s="6"/>
      <c r="M16" s="6"/>
      <c r="N16" s="6"/>
      <c r="O16" s="6"/>
      <c r="P16" s="6"/>
      <c r="Q16" s="6"/>
      <c r="R16" s="6"/>
    </row>
    <row r="17" spans="1:18" ht="17">
      <c r="A17" s="27"/>
      <c r="B17" s="42"/>
      <c r="C17" s="49" t="s">
        <v>38</v>
      </c>
      <c r="D17" s="50" t="s">
        <v>37</v>
      </c>
      <c r="E17" s="48"/>
      <c r="F17" s="51">
        <v>150</v>
      </c>
      <c r="G17" s="48" t="s">
        <v>41</v>
      </c>
      <c r="H17" s="48" t="s">
        <v>41</v>
      </c>
      <c r="I17" s="51" t="s">
        <v>41</v>
      </c>
      <c r="J17" s="48"/>
      <c r="K17" s="52"/>
      <c r="L17" s="5"/>
      <c r="M17" s="5"/>
      <c r="N17" s="5"/>
      <c r="O17" s="5"/>
      <c r="P17" s="5"/>
      <c r="Q17" s="5"/>
      <c r="R17" s="5"/>
    </row>
    <row r="18" spans="1:18" ht="18" customHeight="1" outlineLevel="1">
      <c r="A18" s="4">
        <v>2</v>
      </c>
      <c r="B18" s="20" t="s">
        <v>8</v>
      </c>
      <c r="C18" s="30"/>
      <c r="D18" s="30"/>
      <c r="E18" s="28"/>
      <c r="F18" s="28"/>
      <c r="G18" s="28"/>
      <c r="H18" s="28"/>
      <c r="I18" s="28"/>
      <c r="J18" s="28"/>
      <c r="K18" s="29"/>
      <c r="L18" s="5"/>
      <c r="M18" s="5"/>
      <c r="N18" s="5"/>
      <c r="O18" s="5"/>
      <c r="P18" s="5"/>
      <c r="Q18" s="5"/>
      <c r="R18" s="5"/>
    </row>
    <row r="19" spans="1:18" ht="18" customHeight="1" outlineLevel="1">
      <c r="A19" s="4"/>
      <c r="B19" s="35"/>
      <c r="C19" s="34" t="s">
        <v>46</v>
      </c>
      <c r="D19" s="34" t="s">
        <v>51</v>
      </c>
      <c r="E19" s="34" t="s">
        <v>60</v>
      </c>
      <c r="F19" s="34">
        <v>100</v>
      </c>
      <c r="G19" s="34"/>
      <c r="H19" s="34"/>
      <c r="I19" s="34">
        <v>1994</v>
      </c>
      <c r="J19" s="34"/>
      <c r="K19" s="36"/>
      <c r="L19" s="5"/>
      <c r="M19" s="5"/>
      <c r="N19" s="5"/>
      <c r="O19" s="5"/>
      <c r="P19" s="5"/>
      <c r="Q19" s="5"/>
      <c r="R19" s="5"/>
    </row>
    <row r="20" spans="1:18" ht="18" customHeight="1" outlineLevel="1">
      <c r="A20" s="4"/>
      <c r="B20" s="35"/>
      <c r="C20" s="34" t="s">
        <v>46</v>
      </c>
      <c r="D20" s="34" t="s">
        <v>52</v>
      </c>
      <c r="E20" s="34" t="s">
        <v>61</v>
      </c>
      <c r="F20" s="34">
        <v>750</v>
      </c>
      <c r="G20" s="34"/>
      <c r="H20" s="34"/>
      <c r="I20" s="34">
        <v>1994</v>
      </c>
      <c r="J20" s="34"/>
      <c r="K20" s="124" t="s">
        <v>411</v>
      </c>
      <c r="L20" s="5"/>
      <c r="M20" s="5"/>
      <c r="N20" s="5"/>
      <c r="O20" s="5"/>
      <c r="P20" s="5"/>
      <c r="Q20" s="5"/>
      <c r="R20" s="5"/>
    </row>
    <row r="21" spans="1:18" ht="18" customHeight="1" outlineLevel="1">
      <c r="A21" s="4"/>
      <c r="B21" s="35"/>
      <c r="C21" s="34" t="s">
        <v>46</v>
      </c>
      <c r="D21" s="34" t="s">
        <v>53</v>
      </c>
      <c r="E21" s="34" t="s">
        <v>62</v>
      </c>
      <c r="F21" s="34">
        <v>500</v>
      </c>
      <c r="G21" s="34"/>
      <c r="H21" s="34"/>
      <c r="I21" s="34">
        <v>1994</v>
      </c>
      <c r="J21" s="34"/>
      <c r="K21" s="124" t="s">
        <v>410</v>
      </c>
      <c r="L21" s="5"/>
      <c r="M21" s="5"/>
      <c r="N21" s="5"/>
      <c r="O21" s="5"/>
      <c r="P21" s="5"/>
      <c r="Q21" s="5"/>
      <c r="R21" s="5"/>
    </row>
    <row r="22" spans="1:18" ht="18" customHeight="1" outlineLevel="1">
      <c r="A22" s="4"/>
      <c r="B22" s="35"/>
      <c r="C22" s="34" t="s">
        <v>47</v>
      </c>
      <c r="D22" s="34" t="s">
        <v>54</v>
      </c>
      <c r="E22" s="34" t="s">
        <v>60</v>
      </c>
      <c r="F22" s="34">
        <v>125</v>
      </c>
      <c r="G22" s="34"/>
      <c r="H22" s="34"/>
      <c r="I22" s="34">
        <v>1994</v>
      </c>
      <c r="J22" s="34"/>
      <c r="K22" s="36"/>
      <c r="L22" s="5"/>
      <c r="M22" s="5"/>
      <c r="N22" s="5"/>
      <c r="O22" s="5"/>
      <c r="P22" s="5"/>
      <c r="Q22" s="5"/>
      <c r="R22" s="5"/>
    </row>
    <row r="23" spans="1:18" ht="18" customHeight="1" outlineLevel="1">
      <c r="A23" s="4"/>
      <c r="B23" s="35"/>
      <c r="C23" s="34" t="s">
        <v>48</v>
      </c>
      <c r="D23" s="34" t="s">
        <v>55</v>
      </c>
      <c r="E23" s="34" t="s">
        <v>60</v>
      </c>
      <c r="F23" s="34">
        <v>50</v>
      </c>
      <c r="G23" s="34"/>
      <c r="H23" s="34"/>
      <c r="I23" s="34">
        <v>1994</v>
      </c>
      <c r="J23" s="34"/>
      <c r="K23" s="36"/>
      <c r="L23" s="5"/>
      <c r="M23" s="5"/>
      <c r="N23" s="5"/>
      <c r="O23" s="5"/>
      <c r="P23" s="5"/>
      <c r="Q23" s="5"/>
      <c r="R23" s="5"/>
    </row>
    <row r="24" spans="1:18" ht="18" customHeight="1" outlineLevel="1">
      <c r="A24" s="4"/>
      <c r="B24" s="35"/>
      <c r="C24" s="34" t="s">
        <v>48</v>
      </c>
      <c r="D24" s="34" t="s">
        <v>56</v>
      </c>
      <c r="E24" s="34" t="s">
        <v>60</v>
      </c>
      <c r="F24" s="34">
        <v>500</v>
      </c>
      <c r="G24" s="34"/>
      <c r="H24" s="34"/>
      <c r="I24" s="34">
        <v>1994</v>
      </c>
      <c r="J24" s="34"/>
      <c r="K24" s="36"/>
      <c r="L24" s="5"/>
      <c r="M24" s="5"/>
      <c r="N24" s="5"/>
      <c r="O24" s="5"/>
      <c r="P24" s="5"/>
      <c r="Q24" s="5"/>
      <c r="R24" s="5"/>
    </row>
    <row r="25" spans="1:18" ht="18" customHeight="1" outlineLevel="1">
      <c r="A25" s="4"/>
      <c r="B25" s="35"/>
      <c r="C25" s="34" t="s">
        <v>49</v>
      </c>
      <c r="D25" s="34" t="s">
        <v>57</v>
      </c>
      <c r="E25" s="34" t="s">
        <v>60</v>
      </c>
      <c r="F25" s="34">
        <v>100</v>
      </c>
      <c r="G25" s="34"/>
      <c r="H25" s="34"/>
      <c r="I25" s="34">
        <v>1994</v>
      </c>
      <c r="J25" s="34"/>
      <c r="K25" s="124" t="s">
        <v>412</v>
      </c>
      <c r="L25" s="6"/>
      <c r="M25" s="6"/>
      <c r="N25" s="6"/>
      <c r="O25" s="6"/>
      <c r="P25" s="6"/>
      <c r="Q25" s="6"/>
      <c r="R25" s="6"/>
    </row>
    <row r="26" spans="1:18" ht="18" customHeight="1" outlineLevel="1">
      <c r="A26" s="4"/>
      <c r="B26" s="35"/>
      <c r="C26" s="34" t="s">
        <v>50</v>
      </c>
      <c r="D26" s="34" t="s">
        <v>58</v>
      </c>
      <c r="E26" s="34" t="s">
        <v>39</v>
      </c>
      <c r="F26" s="34">
        <v>1000</v>
      </c>
      <c r="G26" s="34"/>
      <c r="H26" s="34"/>
      <c r="I26" s="34">
        <v>1994</v>
      </c>
      <c r="J26" s="123"/>
      <c r="K26" s="123" t="s">
        <v>416</v>
      </c>
      <c r="L26" s="5"/>
      <c r="M26" s="5"/>
      <c r="N26" s="5"/>
      <c r="O26" s="5"/>
      <c r="P26" s="5"/>
      <c r="Q26" s="5"/>
      <c r="R26" s="5"/>
    </row>
    <row r="27" spans="1:18">
      <c r="A27" s="105"/>
      <c r="B27" s="127"/>
      <c r="C27" s="128" t="s">
        <v>413</v>
      </c>
      <c r="D27" s="123" t="s">
        <v>414</v>
      </c>
      <c r="E27" s="123" t="s">
        <v>60</v>
      </c>
      <c r="F27" s="123" t="s">
        <v>415</v>
      </c>
      <c r="G27" s="123"/>
      <c r="H27" s="123"/>
      <c r="I27" s="129">
        <v>34578</v>
      </c>
      <c r="J27" s="123"/>
      <c r="K27" s="124"/>
      <c r="L27" s="5"/>
      <c r="M27" s="5"/>
      <c r="N27" s="5"/>
      <c r="O27" s="5"/>
      <c r="P27" s="5"/>
      <c r="Q27" s="5"/>
      <c r="R27" s="5"/>
    </row>
    <row r="28" spans="1:18" ht="18" customHeight="1" outlineLevel="1">
      <c r="A28" s="5"/>
      <c r="B28" s="35"/>
      <c r="C28" s="34" t="s">
        <v>41</v>
      </c>
      <c r="D28" s="38" t="s">
        <v>59</v>
      </c>
      <c r="E28" s="38" t="s">
        <v>63</v>
      </c>
      <c r="F28" s="37" t="s">
        <v>41</v>
      </c>
      <c r="G28" s="37"/>
      <c r="H28" s="37"/>
      <c r="I28" s="34">
        <v>1990</v>
      </c>
      <c r="J28" s="37"/>
      <c r="K28" s="36"/>
      <c r="L28" s="5"/>
      <c r="M28" s="5"/>
      <c r="N28" s="5"/>
      <c r="O28" s="5"/>
      <c r="P28" s="5"/>
      <c r="Q28" s="5"/>
      <c r="R28" s="5"/>
    </row>
    <row r="29" spans="1:18" ht="18" customHeight="1" outlineLevel="1">
      <c r="A29" s="4">
        <v>3</v>
      </c>
      <c r="B29" s="161" t="s">
        <v>9</v>
      </c>
      <c r="C29" s="154" t="s">
        <v>22</v>
      </c>
      <c r="D29" s="154" t="s">
        <v>446</v>
      </c>
      <c r="E29" s="159" t="s">
        <v>447</v>
      </c>
      <c r="F29" s="159" t="s">
        <v>441</v>
      </c>
      <c r="G29" s="159" t="s">
        <v>443</v>
      </c>
      <c r="H29" s="159" t="s">
        <v>4</v>
      </c>
      <c r="I29" s="116" t="s">
        <v>23</v>
      </c>
      <c r="J29" s="159" t="s">
        <v>444</v>
      </c>
      <c r="K29" s="133" t="s">
        <v>448</v>
      </c>
      <c r="L29" s="5"/>
      <c r="M29" s="5"/>
      <c r="N29" s="5"/>
      <c r="O29" s="5"/>
      <c r="P29" s="5"/>
      <c r="Q29" s="5"/>
      <c r="R29" s="5"/>
    </row>
    <row r="30" spans="1:18" ht="18" customHeight="1" outlineLevel="1">
      <c r="A30" s="4"/>
      <c r="B30" s="57"/>
      <c r="C30" s="58" t="s">
        <v>65</v>
      </c>
      <c r="D30" s="59" t="s">
        <v>77</v>
      </c>
      <c r="E30" s="58"/>
      <c r="F30" s="58"/>
      <c r="G30" s="58"/>
      <c r="H30" s="58"/>
      <c r="I30" s="58"/>
      <c r="J30" s="58"/>
      <c r="K30" s="132" t="s">
        <v>421</v>
      </c>
      <c r="L30" s="5"/>
      <c r="M30" s="5"/>
      <c r="N30" s="5"/>
      <c r="O30" s="5"/>
      <c r="P30" s="5"/>
      <c r="Q30" s="5"/>
      <c r="R30" s="5"/>
    </row>
    <row r="31" spans="1:18" ht="18" customHeight="1" outlineLevel="1">
      <c r="A31" s="4"/>
      <c r="B31" s="57"/>
      <c r="C31" s="58" t="s">
        <v>65</v>
      </c>
      <c r="D31" s="143" t="s">
        <v>435</v>
      </c>
      <c r="E31" s="58"/>
      <c r="F31" s="58"/>
      <c r="G31" s="58"/>
      <c r="H31" s="58"/>
      <c r="I31" s="58"/>
      <c r="J31" s="58"/>
      <c r="K31" s="60"/>
      <c r="L31" s="5"/>
      <c r="M31" s="5"/>
      <c r="N31" s="5"/>
      <c r="O31" s="5"/>
      <c r="P31" s="5"/>
      <c r="Q31" s="5"/>
      <c r="R31" s="5"/>
    </row>
    <row r="32" spans="1:18" ht="18" customHeight="1" outlineLevel="1">
      <c r="A32" s="4"/>
      <c r="B32" s="57"/>
      <c r="C32" s="58" t="s">
        <v>65</v>
      </c>
      <c r="D32" s="143" t="s">
        <v>436</v>
      </c>
      <c r="E32" s="58"/>
      <c r="F32" s="58"/>
      <c r="G32" s="58"/>
      <c r="H32" s="58"/>
      <c r="I32" s="58"/>
      <c r="J32" s="58"/>
      <c r="K32" s="60"/>
      <c r="L32" s="5"/>
      <c r="M32" s="5"/>
      <c r="N32" s="5"/>
      <c r="O32" s="5"/>
      <c r="P32" s="5"/>
      <c r="Q32" s="5"/>
      <c r="R32" s="5"/>
    </row>
    <row r="33" spans="1:18" ht="18" customHeight="1" outlineLevel="1">
      <c r="A33" s="4"/>
      <c r="B33" s="57"/>
      <c r="C33" s="58" t="s">
        <v>65</v>
      </c>
      <c r="D33" s="58" t="s">
        <v>69</v>
      </c>
      <c r="E33" s="58"/>
      <c r="F33" s="58"/>
      <c r="G33" s="58"/>
      <c r="H33" s="58"/>
      <c r="I33" s="58"/>
      <c r="J33" s="58"/>
      <c r="K33" s="60"/>
      <c r="L33" s="5"/>
      <c r="M33" s="5"/>
      <c r="N33" s="5"/>
      <c r="O33" s="5"/>
      <c r="P33" s="5"/>
      <c r="Q33" s="5"/>
      <c r="R33" s="5"/>
    </row>
    <row r="34" spans="1:18" ht="18" customHeight="1" outlineLevel="1">
      <c r="A34" s="4"/>
      <c r="B34" s="57"/>
      <c r="C34" s="58" t="s">
        <v>65</v>
      </c>
      <c r="D34" s="143" t="s">
        <v>438</v>
      </c>
      <c r="E34" s="58"/>
      <c r="F34" s="58"/>
      <c r="G34" s="58"/>
      <c r="H34" s="58"/>
      <c r="I34" s="58"/>
      <c r="J34" s="58"/>
      <c r="K34" s="60"/>
      <c r="L34" s="5"/>
      <c r="M34" s="5"/>
      <c r="N34" s="5"/>
      <c r="O34" s="5"/>
      <c r="P34" s="5"/>
      <c r="Q34" s="5"/>
      <c r="R34" s="5"/>
    </row>
    <row r="35" spans="1:18" ht="18" customHeight="1" outlineLevel="1">
      <c r="A35" s="4"/>
      <c r="B35" s="57"/>
      <c r="C35" s="58" t="s">
        <v>65</v>
      </c>
      <c r="D35" s="143" t="s">
        <v>437</v>
      </c>
      <c r="E35" s="58"/>
      <c r="F35" s="58"/>
      <c r="G35" s="58"/>
      <c r="H35" s="58"/>
      <c r="I35" s="58"/>
      <c r="J35" s="58"/>
      <c r="K35" s="186" t="s">
        <v>450</v>
      </c>
      <c r="L35" s="5"/>
      <c r="M35" s="5"/>
      <c r="N35" s="5"/>
      <c r="O35" s="5"/>
      <c r="P35" s="5"/>
      <c r="Q35" s="5"/>
      <c r="R35" s="5"/>
    </row>
    <row r="36" spans="1:18" ht="18" customHeight="1" outlineLevel="1">
      <c r="A36" s="4"/>
      <c r="B36" s="57"/>
      <c r="C36" s="58" t="s">
        <v>66</v>
      </c>
      <c r="D36" s="143" t="s">
        <v>81</v>
      </c>
      <c r="E36" s="58"/>
      <c r="F36" s="58"/>
      <c r="G36" s="58"/>
      <c r="H36" s="58"/>
      <c r="I36" s="58"/>
      <c r="J36" s="58"/>
      <c r="K36" s="60"/>
      <c r="L36" s="5"/>
      <c r="M36" s="5"/>
      <c r="N36" s="5"/>
      <c r="O36" s="5"/>
      <c r="P36" s="5"/>
      <c r="Q36" s="5"/>
      <c r="R36" s="5"/>
    </row>
    <row r="37" spans="1:18" ht="18" customHeight="1" outlineLevel="1">
      <c r="A37" s="4"/>
      <c r="B37" s="57"/>
      <c r="C37" s="58" t="s">
        <v>66</v>
      </c>
      <c r="D37" s="58" t="s">
        <v>75</v>
      </c>
      <c r="E37" s="58"/>
      <c r="F37" s="58"/>
      <c r="G37" s="58"/>
      <c r="H37" s="58"/>
      <c r="I37" s="58"/>
      <c r="J37" s="58"/>
      <c r="K37" s="60"/>
      <c r="L37" s="5"/>
      <c r="M37" s="5"/>
      <c r="N37" s="5"/>
      <c r="O37" s="5"/>
      <c r="P37" s="5"/>
      <c r="Q37" s="5"/>
      <c r="R37" s="5"/>
    </row>
    <row r="38" spans="1:18" ht="18" customHeight="1" outlineLevel="1">
      <c r="A38" s="4"/>
      <c r="B38" s="57"/>
      <c r="C38" s="58" t="s">
        <v>66</v>
      </c>
      <c r="D38" s="58" t="s">
        <v>73</v>
      </c>
      <c r="E38" s="58"/>
      <c r="F38" s="58"/>
      <c r="G38" s="58"/>
      <c r="H38" s="58"/>
      <c r="I38" s="58"/>
      <c r="J38" s="58"/>
      <c r="K38" s="60"/>
      <c r="L38" s="5"/>
      <c r="M38" s="5"/>
      <c r="N38" s="5"/>
      <c r="O38" s="5"/>
      <c r="P38" s="5"/>
      <c r="Q38" s="5"/>
      <c r="R38" s="5"/>
    </row>
    <row r="39" spans="1:18" ht="18" customHeight="1" outlineLevel="1">
      <c r="A39" s="4"/>
      <c r="B39" s="57"/>
      <c r="C39" s="58" t="s">
        <v>66</v>
      </c>
      <c r="D39" s="58" t="s">
        <v>82</v>
      </c>
      <c r="E39" s="58"/>
      <c r="F39" s="58"/>
      <c r="G39" s="58"/>
      <c r="H39" s="58"/>
      <c r="I39" s="58"/>
      <c r="J39" s="58"/>
      <c r="K39" s="60"/>
      <c r="L39" s="5"/>
      <c r="M39" s="5"/>
      <c r="N39" s="5"/>
      <c r="O39" s="5"/>
      <c r="P39" s="5"/>
      <c r="Q39" s="5"/>
      <c r="R39" s="5"/>
    </row>
    <row r="40" spans="1:18" ht="18" customHeight="1" outlineLevel="1">
      <c r="A40" s="4"/>
      <c r="B40" s="57"/>
      <c r="C40" s="58" t="s">
        <v>66</v>
      </c>
      <c r="D40" s="58" t="s">
        <v>74</v>
      </c>
      <c r="E40" s="58"/>
      <c r="F40" s="58"/>
      <c r="G40" s="58"/>
      <c r="H40" s="58"/>
      <c r="I40" s="58"/>
      <c r="J40" s="58"/>
      <c r="K40" s="60"/>
      <c r="L40" s="5"/>
      <c r="M40" s="5"/>
      <c r="N40" s="5"/>
      <c r="O40" s="5"/>
      <c r="P40" s="5"/>
      <c r="Q40" s="5"/>
      <c r="R40" s="5"/>
    </row>
    <row r="41" spans="1:18" ht="18" customHeight="1" outlineLevel="1">
      <c r="A41" s="4"/>
      <c r="B41" s="57"/>
      <c r="C41" s="58" t="s">
        <v>64</v>
      </c>
      <c r="D41" s="58" t="s">
        <v>71</v>
      </c>
      <c r="E41" s="58"/>
      <c r="F41" s="58"/>
      <c r="G41" s="58"/>
      <c r="H41" s="58"/>
      <c r="I41" s="58"/>
      <c r="J41" s="58"/>
      <c r="K41" s="60"/>
      <c r="L41" s="5"/>
      <c r="M41" s="5"/>
      <c r="N41" s="5"/>
      <c r="O41" s="5"/>
      <c r="P41" s="5"/>
      <c r="Q41" s="5"/>
      <c r="R41" s="5"/>
    </row>
    <row r="42" spans="1:18" ht="18" customHeight="1" outlineLevel="1">
      <c r="A42" s="4"/>
      <c r="B42" s="57"/>
      <c r="C42" s="58" t="s">
        <v>64</v>
      </c>
      <c r="D42" s="58" t="s">
        <v>83</v>
      </c>
      <c r="E42" s="58"/>
      <c r="F42" s="58"/>
      <c r="G42" s="58"/>
      <c r="H42" s="58"/>
      <c r="I42" s="58"/>
      <c r="J42" s="58"/>
      <c r="K42" s="60"/>
      <c r="L42" s="5"/>
      <c r="M42" s="5"/>
      <c r="N42" s="5"/>
      <c r="O42" s="5"/>
      <c r="P42" s="5"/>
      <c r="Q42" s="5"/>
      <c r="R42" s="5"/>
    </row>
    <row r="43" spans="1:18" ht="18" customHeight="1" outlineLevel="1">
      <c r="A43" s="4"/>
      <c r="B43" s="57"/>
      <c r="C43" s="58" t="s">
        <v>64</v>
      </c>
      <c r="D43" s="58" t="s">
        <v>80</v>
      </c>
      <c r="E43" s="58"/>
      <c r="F43" s="58"/>
      <c r="G43" s="58"/>
      <c r="H43" s="58"/>
      <c r="I43" s="58"/>
      <c r="J43" s="58"/>
      <c r="K43" s="60"/>
      <c r="L43" s="5"/>
      <c r="M43" s="5"/>
      <c r="N43" s="5"/>
      <c r="O43" s="5"/>
      <c r="P43" s="5"/>
      <c r="Q43" s="5"/>
      <c r="R43" s="5"/>
    </row>
    <row r="44" spans="1:18" ht="18" customHeight="1" outlineLevel="1">
      <c r="A44" s="4"/>
      <c r="B44" s="57"/>
      <c r="C44" s="58" t="s">
        <v>64</v>
      </c>
      <c r="D44" s="58" t="s">
        <v>67</v>
      </c>
      <c r="E44" s="58"/>
      <c r="F44" s="58"/>
      <c r="G44" s="58"/>
      <c r="H44" s="58"/>
      <c r="I44" s="58"/>
      <c r="J44" s="58"/>
      <c r="K44" s="60"/>
      <c r="L44" s="5"/>
      <c r="M44" s="5"/>
      <c r="N44" s="5"/>
      <c r="O44" s="5"/>
      <c r="P44" s="5"/>
      <c r="Q44" s="5"/>
      <c r="R44" s="5"/>
    </row>
    <row r="45" spans="1:18" ht="18" customHeight="1" outlineLevel="1">
      <c r="A45" s="4"/>
      <c r="B45" s="57"/>
      <c r="C45" s="58" t="s">
        <v>64</v>
      </c>
      <c r="D45" s="58" t="s">
        <v>68</v>
      </c>
      <c r="E45" s="58"/>
      <c r="F45" s="58"/>
      <c r="G45" s="58"/>
      <c r="H45" s="58"/>
      <c r="I45" s="58"/>
      <c r="J45" s="58"/>
      <c r="K45" s="60"/>
      <c r="L45" s="6"/>
      <c r="M45" s="6"/>
      <c r="N45" s="6"/>
      <c r="O45" s="6"/>
      <c r="P45" s="6"/>
      <c r="Q45" s="6"/>
      <c r="R45" s="6"/>
    </row>
    <row r="46" spans="1:18">
      <c r="A46" s="4"/>
      <c r="B46" s="57"/>
      <c r="C46" s="58" t="s">
        <v>64</v>
      </c>
      <c r="D46" s="143" t="s">
        <v>439</v>
      </c>
      <c r="E46" s="58"/>
      <c r="F46" s="58"/>
      <c r="G46" s="58"/>
      <c r="H46" s="58"/>
      <c r="I46" s="58"/>
      <c r="J46" s="58"/>
      <c r="K46" s="60"/>
      <c r="L46" s="5"/>
      <c r="M46" s="5"/>
      <c r="N46" s="5"/>
      <c r="O46" s="5"/>
      <c r="P46" s="5"/>
      <c r="Q46" s="5"/>
      <c r="R46" s="5"/>
    </row>
    <row r="47" spans="1:18" ht="18" customHeight="1" outlineLevel="1">
      <c r="A47" s="105"/>
      <c r="B47" s="141"/>
      <c r="C47" s="142" t="s">
        <v>64</v>
      </c>
      <c r="D47" s="143" t="s">
        <v>71</v>
      </c>
      <c r="E47" s="143" t="s">
        <v>60</v>
      </c>
      <c r="F47" s="143" t="s">
        <v>431</v>
      </c>
      <c r="G47" s="143"/>
      <c r="H47" s="143"/>
      <c r="I47" s="152">
        <v>34090</v>
      </c>
      <c r="J47" s="143"/>
      <c r="K47" s="132"/>
      <c r="L47" s="5"/>
      <c r="M47" s="5"/>
      <c r="N47" s="5"/>
      <c r="O47" s="5"/>
      <c r="P47" s="5"/>
      <c r="Q47" s="5"/>
      <c r="R47" s="5"/>
    </row>
    <row r="48" spans="1:18" ht="18" customHeight="1" outlineLevel="1">
      <c r="A48" s="4"/>
      <c r="B48" s="57"/>
      <c r="C48" s="58" t="s">
        <v>76</v>
      </c>
      <c r="D48" s="61" t="s">
        <v>72</v>
      </c>
      <c r="E48" s="58"/>
      <c r="F48" s="58"/>
      <c r="G48" s="58"/>
      <c r="H48" s="58"/>
      <c r="I48" s="58"/>
      <c r="J48" s="58"/>
      <c r="K48" s="60"/>
      <c r="L48" s="5"/>
      <c r="M48" s="5"/>
      <c r="N48" s="5"/>
      <c r="O48" s="5"/>
      <c r="P48" s="5"/>
      <c r="Q48" s="5"/>
      <c r="R48" s="5"/>
    </row>
    <row r="49" spans="1:18" ht="18" customHeight="1" outlineLevel="1">
      <c r="A49" s="4">
        <v>4</v>
      </c>
      <c r="B49" s="20" t="s">
        <v>10</v>
      </c>
      <c r="C49" s="33"/>
      <c r="D49" s="33"/>
      <c r="E49" s="4"/>
      <c r="F49" s="4"/>
      <c r="G49" s="4"/>
      <c r="H49" s="4"/>
      <c r="I49" s="4"/>
      <c r="J49" s="4"/>
      <c r="K49" s="7"/>
      <c r="L49" s="5"/>
      <c r="M49" s="5"/>
      <c r="N49" s="5"/>
      <c r="O49" s="5"/>
      <c r="P49" s="5"/>
      <c r="Q49" s="5"/>
      <c r="R49" s="5"/>
    </row>
    <row r="50" spans="1:18" ht="18" customHeight="1" outlineLevel="1">
      <c r="A50" s="4"/>
      <c r="B50" s="62"/>
      <c r="C50" s="63" t="s">
        <v>84</v>
      </c>
      <c r="D50" s="63" t="s">
        <v>87</v>
      </c>
      <c r="E50" s="64" t="s">
        <v>94</v>
      </c>
      <c r="F50" s="63"/>
      <c r="G50" s="63"/>
      <c r="H50" s="63"/>
      <c r="I50" s="63">
        <v>1995</v>
      </c>
      <c r="J50" s="63"/>
      <c r="K50" s="65"/>
      <c r="L50" s="5"/>
      <c r="M50" s="5"/>
      <c r="N50" s="5"/>
      <c r="O50" s="5"/>
      <c r="P50" s="5"/>
      <c r="Q50" s="5"/>
      <c r="R50" s="5"/>
    </row>
    <row r="51" spans="1:18" ht="18" customHeight="1" outlineLevel="1">
      <c r="A51" s="4"/>
      <c r="B51" s="62"/>
      <c r="C51" s="63" t="s">
        <v>84</v>
      </c>
      <c r="D51" s="63" t="s">
        <v>88</v>
      </c>
      <c r="E51" s="63" t="s">
        <v>61</v>
      </c>
      <c r="F51" s="63"/>
      <c r="G51" s="63"/>
      <c r="H51" s="63"/>
      <c r="I51" s="63">
        <v>1994</v>
      </c>
      <c r="J51" s="63"/>
      <c r="K51" s="65"/>
      <c r="L51" s="5"/>
      <c r="M51" s="5"/>
      <c r="N51" s="5"/>
      <c r="O51" s="5"/>
      <c r="P51" s="5"/>
      <c r="Q51" s="5"/>
      <c r="R51" s="5"/>
    </row>
    <row r="52" spans="1:18" ht="18" customHeight="1" outlineLevel="1">
      <c r="A52" s="4"/>
      <c r="B52" s="62"/>
      <c r="C52" s="63" t="s">
        <v>84</v>
      </c>
      <c r="D52" s="63" t="s">
        <v>89</v>
      </c>
      <c r="E52" s="63" t="s">
        <v>62</v>
      </c>
      <c r="F52" s="63"/>
      <c r="G52" s="63"/>
      <c r="H52" s="63"/>
      <c r="I52" s="63">
        <v>1994</v>
      </c>
      <c r="J52" s="63"/>
      <c r="K52" s="65"/>
      <c r="L52" s="5"/>
      <c r="M52" s="5"/>
      <c r="N52" s="5"/>
      <c r="O52" s="5"/>
      <c r="P52" s="5"/>
      <c r="Q52" s="5"/>
      <c r="R52" s="5"/>
    </row>
    <row r="53" spans="1:18" ht="18" customHeight="1" outlineLevel="1">
      <c r="A53" s="4"/>
      <c r="B53" s="62"/>
      <c r="C53" s="63" t="s">
        <v>85</v>
      </c>
      <c r="D53" s="63" t="s">
        <v>90</v>
      </c>
      <c r="E53" s="63" t="s">
        <v>63</v>
      </c>
      <c r="F53" s="63"/>
      <c r="G53" s="63"/>
      <c r="H53" s="63"/>
      <c r="I53" s="63">
        <v>1990</v>
      </c>
      <c r="J53" s="63"/>
      <c r="K53" s="65"/>
      <c r="L53" s="6"/>
      <c r="M53" s="6"/>
      <c r="N53" s="6"/>
      <c r="O53" s="6"/>
      <c r="P53" s="6"/>
      <c r="Q53" s="6"/>
      <c r="R53" s="6"/>
    </row>
    <row r="54" spans="1:18">
      <c r="A54" s="4"/>
      <c r="B54" s="62"/>
      <c r="C54" s="63" t="s">
        <v>86</v>
      </c>
      <c r="D54" s="63" t="s">
        <v>91</v>
      </c>
      <c r="E54" s="63"/>
      <c r="F54" s="63"/>
      <c r="G54" s="63"/>
      <c r="H54" s="63"/>
      <c r="I54" s="63"/>
      <c r="J54" s="63"/>
      <c r="K54" s="65"/>
      <c r="L54" s="5"/>
      <c r="M54" s="5"/>
      <c r="N54" s="5"/>
      <c r="O54" s="5"/>
      <c r="P54" s="5"/>
      <c r="Q54" s="5"/>
      <c r="R54" s="5"/>
    </row>
    <row r="55" spans="1:18" ht="18" customHeight="1" outlineLevel="1">
      <c r="A55" s="4"/>
      <c r="B55" s="62"/>
      <c r="C55" s="63" t="s">
        <v>86</v>
      </c>
      <c r="D55" s="63" t="s">
        <v>92</v>
      </c>
      <c r="E55" s="63" t="s">
        <v>95</v>
      </c>
      <c r="F55" s="63"/>
      <c r="G55" s="63"/>
      <c r="H55" s="63"/>
      <c r="I55" s="63">
        <v>1994</v>
      </c>
      <c r="J55" s="63"/>
      <c r="K55" s="131" t="s">
        <v>420</v>
      </c>
      <c r="L55" s="5"/>
      <c r="M55" s="5"/>
      <c r="N55" s="5"/>
      <c r="O55" s="5"/>
      <c r="P55" s="5"/>
      <c r="Q55" s="5"/>
      <c r="R55" s="5"/>
    </row>
    <row r="56" spans="1:18" ht="18" customHeight="1" outlineLevel="1">
      <c r="A56" s="4"/>
      <c r="B56" s="62"/>
      <c r="C56" s="63" t="s">
        <v>86</v>
      </c>
      <c r="D56" s="63" t="s">
        <v>93</v>
      </c>
      <c r="E56" s="63"/>
      <c r="F56" s="63"/>
      <c r="G56" s="63"/>
      <c r="H56" s="63"/>
      <c r="I56" s="63"/>
      <c r="J56" s="63"/>
      <c r="K56" s="65"/>
      <c r="L56" s="5"/>
      <c r="M56" s="5"/>
      <c r="N56" s="5"/>
      <c r="O56" s="5"/>
      <c r="P56" s="5"/>
      <c r="Q56" s="5"/>
      <c r="R56" s="5"/>
    </row>
    <row r="57" spans="1:18" ht="18" customHeight="1" outlineLevel="1">
      <c r="A57" s="4">
        <v>5</v>
      </c>
      <c r="B57" s="161" t="s">
        <v>11</v>
      </c>
      <c r="C57" s="154" t="s">
        <v>449</v>
      </c>
      <c r="D57" s="154" t="s">
        <v>446</v>
      </c>
      <c r="E57" s="159" t="s">
        <v>447</v>
      </c>
      <c r="F57" s="159" t="s">
        <v>441</v>
      </c>
      <c r="G57" s="159" t="s">
        <v>443</v>
      </c>
      <c r="H57" s="159" t="s">
        <v>4</v>
      </c>
      <c r="I57" s="116" t="s">
        <v>23</v>
      </c>
      <c r="J57" s="159" t="s">
        <v>444</v>
      </c>
      <c r="K57" s="133" t="s">
        <v>448</v>
      </c>
      <c r="L57" s="5"/>
      <c r="M57" s="5"/>
      <c r="N57" s="5"/>
      <c r="O57" s="5"/>
      <c r="P57" s="5"/>
      <c r="Q57" s="5"/>
      <c r="R57" s="5"/>
    </row>
    <row r="58" spans="1:18" ht="18" customHeight="1" outlineLevel="1">
      <c r="A58" s="4"/>
      <c r="B58" s="68"/>
      <c r="C58" s="69" t="s">
        <v>96</v>
      </c>
      <c r="D58" s="69" t="s">
        <v>97</v>
      </c>
      <c r="E58" s="69" t="s">
        <v>107</v>
      </c>
      <c r="F58" s="69"/>
      <c r="G58" s="69"/>
      <c r="H58" s="69"/>
      <c r="I58" s="69">
        <v>1992</v>
      </c>
      <c r="J58" s="69"/>
      <c r="K58" s="130" t="s">
        <v>422</v>
      </c>
      <c r="L58" s="5"/>
      <c r="M58" s="5"/>
      <c r="N58" s="5"/>
      <c r="O58" s="5"/>
      <c r="P58" s="5"/>
      <c r="Q58" s="5"/>
      <c r="R58" s="5"/>
    </row>
    <row r="59" spans="1:18" ht="18" customHeight="1" outlineLevel="1">
      <c r="A59" s="4"/>
      <c r="B59" s="68"/>
      <c r="C59" s="69" t="s">
        <v>96</v>
      </c>
      <c r="D59" s="69" t="s">
        <v>98</v>
      </c>
      <c r="E59" s="69" t="s">
        <v>107</v>
      </c>
      <c r="F59" s="69"/>
      <c r="G59" s="69"/>
      <c r="H59" s="69"/>
      <c r="I59" s="69">
        <v>1992</v>
      </c>
      <c r="J59" s="69"/>
      <c r="K59" s="187" t="s">
        <v>451</v>
      </c>
      <c r="L59" s="5"/>
      <c r="M59" s="5"/>
      <c r="N59" s="5"/>
      <c r="O59" s="5"/>
      <c r="P59" s="5"/>
      <c r="Q59" s="5"/>
      <c r="R59" s="5"/>
    </row>
    <row r="60" spans="1:18" ht="18" customHeight="1" outlineLevel="1">
      <c r="A60" s="4"/>
      <c r="B60" s="68"/>
      <c r="C60" s="69" t="s">
        <v>96</v>
      </c>
      <c r="D60" s="69" t="s">
        <v>99</v>
      </c>
      <c r="E60" s="69" t="s">
        <v>108</v>
      </c>
      <c r="F60" s="69"/>
      <c r="G60" s="69"/>
      <c r="H60" s="69"/>
      <c r="I60" s="71">
        <v>34547</v>
      </c>
      <c r="J60" s="69"/>
      <c r="K60" s="70"/>
      <c r="L60" s="5"/>
      <c r="M60" s="5"/>
      <c r="N60" s="5"/>
      <c r="O60" s="5"/>
      <c r="P60" s="5"/>
      <c r="Q60" s="5"/>
      <c r="R60" s="5"/>
    </row>
    <row r="61" spans="1:18" ht="18" customHeight="1" outlineLevel="1">
      <c r="A61" s="4"/>
      <c r="B61" s="68"/>
      <c r="C61" s="69" t="s">
        <v>96</v>
      </c>
      <c r="D61" s="69" t="s">
        <v>100</v>
      </c>
      <c r="E61" s="69" t="s">
        <v>39</v>
      </c>
      <c r="F61" s="69"/>
      <c r="G61" s="69"/>
      <c r="H61" s="69"/>
      <c r="I61" s="69">
        <v>1994</v>
      </c>
      <c r="J61" s="69"/>
      <c r="K61" s="70"/>
      <c r="L61" s="5"/>
      <c r="M61" s="5"/>
      <c r="N61" s="5"/>
      <c r="O61" s="5"/>
      <c r="P61" s="5"/>
      <c r="Q61" s="5"/>
      <c r="R61" s="5"/>
    </row>
    <row r="62" spans="1:18" ht="18" customHeight="1" outlineLevel="1">
      <c r="A62" s="4"/>
      <c r="B62" s="68"/>
      <c r="C62" s="69" t="s">
        <v>96</v>
      </c>
      <c r="D62" s="69" t="s">
        <v>101</v>
      </c>
      <c r="E62" s="69" t="s">
        <v>39</v>
      </c>
      <c r="F62" s="69"/>
      <c r="G62" s="69"/>
      <c r="H62" s="69"/>
      <c r="I62" s="69">
        <v>1994</v>
      </c>
      <c r="J62" s="69"/>
      <c r="K62" s="70"/>
      <c r="L62" s="5"/>
      <c r="M62" s="5"/>
      <c r="N62" s="5"/>
      <c r="O62" s="5"/>
      <c r="P62" s="5"/>
      <c r="Q62" s="5"/>
      <c r="R62" s="5"/>
    </row>
    <row r="63" spans="1:18" ht="18" customHeight="1" outlineLevel="1">
      <c r="A63" s="4"/>
      <c r="B63" s="68"/>
      <c r="C63" s="69" t="s">
        <v>96</v>
      </c>
      <c r="D63" s="69" t="s">
        <v>102</v>
      </c>
      <c r="E63" s="69" t="s">
        <v>39</v>
      </c>
      <c r="F63" s="69"/>
      <c r="G63" s="69"/>
      <c r="H63" s="69"/>
      <c r="I63" s="69">
        <v>1994</v>
      </c>
      <c r="J63" s="69"/>
      <c r="K63" s="70"/>
      <c r="L63" s="5"/>
      <c r="M63" s="5"/>
      <c r="N63" s="5"/>
      <c r="O63" s="5"/>
      <c r="P63" s="5"/>
      <c r="Q63" s="5"/>
      <c r="R63" s="5"/>
    </row>
    <row r="64" spans="1:18" ht="18" customHeight="1" outlineLevel="1">
      <c r="A64" s="4"/>
      <c r="B64" s="68"/>
      <c r="C64" s="69" t="s">
        <v>96</v>
      </c>
      <c r="D64" s="69" t="s">
        <v>103</v>
      </c>
      <c r="E64" s="69" t="s">
        <v>108</v>
      </c>
      <c r="F64" s="69"/>
      <c r="G64" s="69"/>
      <c r="H64" s="69"/>
      <c r="I64" s="69">
        <v>1996</v>
      </c>
      <c r="J64" s="69"/>
      <c r="K64" s="70"/>
      <c r="L64" s="5"/>
      <c r="M64" s="5"/>
      <c r="N64" s="5"/>
      <c r="O64" s="5"/>
      <c r="P64" s="5"/>
      <c r="Q64" s="5"/>
      <c r="R64" s="5"/>
    </row>
    <row r="65" spans="1:18" ht="18" customHeight="1" outlineLevel="1">
      <c r="A65" s="4"/>
      <c r="B65" s="68"/>
      <c r="C65" s="69" t="s">
        <v>96</v>
      </c>
      <c r="D65" s="69" t="s">
        <v>104</v>
      </c>
      <c r="E65" s="69" t="s">
        <v>108</v>
      </c>
      <c r="F65" s="69"/>
      <c r="G65" s="69"/>
      <c r="H65" s="69"/>
      <c r="I65" s="69">
        <v>1996</v>
      </c>
      <c r="J65" s="69"/>
      <c r="K65" s="70"/>
      <c r="L65" s="5"/>
      <c r="M65" s="5"/>
      <c r="N65" s="5"/>
      <c r="O65" s="5"/>
      <c r="P65" s="5"/>
      <c r="Q65" s="5"/>
      <c r="R65" s="5"/>
    </row>
    <row r="66" spans="1:18" ht="18" customHeight="1" outlineLevel="1">
      <c r="A66" s="4"/>
      <c r="B66" s="68"/>
      <c r="C66" s="69" t="s">
        <v>96</v>
      </c>
      <c r="D66" s="69" t="s">
        <v>105</v>
      </c>
      <c r="E66" s="69" t="s">
        <v>39</v>
      </c>
      <c r="F66" s="69"/>
      <c r="G66" s="69"/>
      <c r="H66" s="69"/>
      <c r="I66" s="69">
        <v>1996</v>
      </c>
      <c r="J66" s="69"/>
      <c r="K66" s="70"/>
      <c r="L66" s="5"/>
      <c r="M66" s="5"/>
      <c r="N66" s="5"/>
      <c r="O66" s="5"/>
      <c r="P66" s="5"/>
      <c r="Q66" s="5"/>
      <c r="R66" s="5"/>
    </row>
    <row r="67" spans="1:18" ht="18" customHeight="1" outlineLevel="1">
      <c r="A67" s="4"/>
      <c r="B67" s="68"/>
      <c r="C67" s="69" t="s">
        <v>96</v>
      </c>
      <c r="D67" s="69" t="s">
        <v>106</v>
      </c>
      <c r="E67" s="69" t="s">
        <v>39</v>
      </c>
      <c r="F67" s="69"/>
      <c r="G67" s="69"/>
      <c r="H67" s="69"/>
      <c r="I67" s="69">
        <v>1996</v>
      </c>
      <c r="J67" s="69"/>
      <c r="K67" s="70"/>
      <c r="L67" s="5"/>
      <c r="M67" s="5"/>
      <c r="N67" s="5"/>
      <c r="O67" s="5"/>
      <c r="P67" s="5"/>
      <c r="Q67" s="5"/>
      <c r="R67" s="5"/>
    </row>
    <row r="68" spans="1:18" ht="18" customHeight="1" outlineLevel="1">
      <c r="A68" s="4"/>
      <c r="B68" s="68"/>
      <c r="C68" s="69" t="s">
        <v>109</v>
      </c>
      <c r="D68" s="69" t="s">
        <v>110</v>
      </c>
      <c r="E68" s="69" t="s">
        <v>39</v>
      </c>
      <c r="F68" s="69"/>
      <c r="G68" s="69"/>
      <c r="H68" s="69"/>
      <c r="I68" s="72">
        <v>34716</v>
      </c>
      <c r="J68" s="69"/>
      <c r="K68" s="70"/>
      <c r="L68" s="5"/>
      <c r="M68" s="5"/>
      <c r="N68" s="5"/>
      <c r="O68" s="5"/>
      <c r="P68" s="5"/>
      <c r="Q68" s="5"/>
      <c r="R68" s="5"/>
    </row>
    <row r="69" spans="1:18" ht="18" customHeight="1" outlineLevel="1">
      <c r="A69" s="4"/>
      <c r="B69" s="68"/>
      <c r="C69" s="69" t="s">
        <v>109</v>
      </c>
      <c r="D69" s="69" t="s">
        <v>111</v>
      </c>
      <c r="E69" s="69" t="s">
        <v>60</v>
      </c>
      <c r="F69" s="69"/>
      <c r="G69" s="69"/>
      <c r="H69" s="69"/>
      <c r="I69" s="72">
        <v>33078</v>
      </c>
      <c r="J69" s="69"/>
      <c r="K69" s="70"/>
      <c r="L69" s="5"/>
      <c r="M69" s="5"/>
      <c r="N69" s="5"/>
      <c r="O69" s="5"/>
      <c r="P69" s="5"/>
      <c r="Q69" s="5"/>
      <c r="R69" s="5"/>
    </row>
    <row r="70" spans="1:18" ht="18" customHeight="1" outlineLevel="1">
      <c r="A70" s="4"/>
      <c r="B70" s="68"/>
      <c r="C70" s="69" t="s">
        <v>109</v>
      </c>
      <c r="D70" s="69" t="s">
        <v>112</v>
      </c>
      <c r="E70" s="69" t="s">
        <v>108</v>
      </c>
      <c r="F70" s="69"/>
      <c r="G70" s="69"/>
      <c r="H70" s="69"/>
      <c r="I70" s="73" t="s">
        <v>116</v>
      </c>
      <c r="J70" s="69"/>
      <c r="K70" s="70"/>
      <c r="L70" s="5"/>
      <c r="M70" s="5"/>
      <c r="N70" s="5"/>
      <c r="O70" s="5"/>
      <c r="P70" s="5"/>
      <c r="Q70" s="5"/>
      <c r="R70" s="5"/>
    </row>
    <row r="71" spans="1:18" ht="18" customHeight="1" outlineLevel="1">
      <c r="A71" s="4"/>
      <c r="B71" s="68"/>
      <c r="C71" s="69" t="s">
        <v>109</v>
      </c>
      <c r="D71" s="69" t="s">
        <v>113</v>
      </c>
      <c r="E71" s="69" t="s">
        <v>39</v>
      </c>
      <c r="F71" s="69"/>
      <c r="G71" s="69"/>
      <c r="H71" s="69"/>
      <c r="I71" s="72">
        <v>35286</v>
      </c>
      <c r="J71" s="69"/>
      <c r="K71" s="70"/>
      <c r="L71" s="5"/>
      <c r="M71" s="5"/>
      <c r="N71" s="5"/>
      <c r="O71" s="5"/>
      <c r="P71" s="5"/>
      <c r="Q71" s="5"/>
      <c r="R71" s="5"/>
    </row>
    <row r="72" spans="1:18" ht="18" customHeight="1" outlineLevel="1">
      <c r="A72" s="4"/>
      <c r="B72" s="68"/>
      <c r="C72" s="74" t="s">
        <v>114</v>
      </c>
      <c r="D72" s="69" t="s">
        <v>115</v>
      </c>
      <c r="E72" s="69" t="s">
        <v>39</v>
      </c>
      <c r="F72" s="69"/>
      <c r="G72" s="69"/>
      <c r="H72" s="69"/>
      <c r="I72" s="72">
        <v>35193</v>
      </c>
      <c r="J72" s="69"/>
      <c r="K72" s="70"/>
      <c r="L72" s="5"/>
      <c r="M72" s="5"/>
      <c r="N72" s="5"/>
      <c r="O72" s="5"/>
      <c r="P72" s="5"/>
      <c r="Q72" s="5"/>
      <c r="R72" s="5"/>
    </row>
    <row r="73" spans="1:18" ht="18" customHeight="1" outlineLevel="1">
      <c r="A73" s="4"/>
      <c r="B73" s="68"/>
      <c r="C73" s="74" t="s">
        <v>114</v>
      </c>
      <c r="D73" s="69" t="s">
        <v>117</v>
      </c>
      <c r="E73" s="69" t="s">
        <v>39</v>
      </c>
      <c r="F73" s="69"/>
      <c r="G73" s="69"/>
      <c r="H73" s="69"/>
      <c r="I73" s="72">
        <v>35255</v>
      </c>
      <c r="J73" s="69"/>
      <c r="K73" s="70"/>
      <c r="L73" s="5"/>
      <c r="M73" s="5"/>
      <c r="N73" s="5"/>
      <c r="O73" s="5"/>
      <c r="P73" s="5"/>
      <c r="Q73" s="5"/>
      <c r="R73" s="5"/>
    </row>
    <row r="74" spans="1:18" ht="18" customHeight="1" outlineLevel="1">
      <c r="A74" s="4"/>
      <c r="B74" s="68"/>
      <c r="C74" s="69" t="s">
        <v>118</v>
      </c>
      <c r="D74" s="69" t="s">
        <v>119</v>
      </c>
      <c r="E74" s="69" t="s">
        <v>60</v>
      </c>
      <c r="F74" s="69"/>
      <c r="G74" s="69"/>
      <c r="H74" s="69"/>
      <c r="I74" s="72">
        <v>33247</v>
      </c>
      <c r="J74" s="69"/>
      <c r="K74" s="70"/>
      <c r="L74" s="5"/>
      <c r="M74" s="5"/>
      <c r="N74" s="5"/>
      <c r="O74" s="5"/>
      <c r="P74" s="5"/>
      <c r="Q74" s="5"/>
      <c r="R74" s="5"/>
    </row>
    <row r="75" spans="1:18" ht="18" customHeight="1" outlineLevel="1">
      <c r="A75" s="4"/>
      <c r="B75" s="68"/>
      <c r="C75" s="69" t="s">
        <v>118</v>
      </c>
      <c r="D75" s="69" t="s">
        <v>120</v>
      </c>
      <c r="E75" s="69" t="s">
        <v>60</v>
      </c>
      <c r="F75" s="69"/>
      <c r="G75" s="69"/>
      <c r="H75" s="69"/>
      <c r="I75" s="72">
        <v>33644</v>
      </c>
      <c r="J75" s="69"/>
      <c r="K75" s="70"/>
      <c r="L75" s="5"/>
      <c r="M75" s="5"/>
      <c r="N75" s="5"/>
      <c r="O75" s="5"/>
      <c r="P75" s="5"/>
      <c r="Q75" s="5"/>
      <c r="R75" s="5"/>
    </row>
    <row r="76" spans="1:18" ht="18" customHeight="1" outlineLevel="1">
      <c r="A76" s="4"/>
      <c r="B76" s="68"/>
      <c r="C76" s="69" t="s">
        <v>118</v>
      </c>
      <c r="D76" s="69" t="s">
        <v>121</v>
      </c>
      <c r="E76" s="69" t="s">
        <v>40</v>
      </c>
      <c r="F76" s="69"/>
      <c r="G76" s="69"/>
      <c r="H76" s="69"/>
      <c r="I76" s="72">
        <v>34382</v>
      </c>
      <c r="J76" s="69"/>
      <c r="K76" s="70"/>
      <c r="L76" s="5"/>
      <c r="M76" s="5"/>
      <c r="N76" s="5"/>
      <c r="O76" s="5"/>
      <c r="P76" s="5"/>
      <c r="Q76" s="5"/>
      <c r="R76" s="5"/>
    </row>
    <row r="77" spans="1:18" ht="18" customHeight="1" outlineLevel="1">
      <c r="A77" s="4"/>
      <c r="B77" s="68"/>
      <c r="C77" s="69" t="s">
        <v>118</v>
      </c>
      <c r="D77" s="69" t="s">
        <v>122</v>
      </c>
      <c r="E77" s="69" t="s">
        <v>40</v>
      </c>
      <c r="F77" s="69"/>
      <c r="G77" s="69"/>
      <c r="H77" s="69"/>
      <c r="I77" s="72">
        <v>34382</v>
      </c>
      <c r="J77" s="69"/>
      <c r="K77" s="70"/>
      <c r="L77" s="5"/>
      <c r="M77" s="5"/>
      <c r="N77" s="5"/>
      <c r="O77" s="5"/>
      <c r="P77" s="5"/>
      <c r="Q77" s="5"/>
      <c r="R77" s="5"/>
    </row>
    <row r="78" spans="1:18" ht="18" customHeight="1" outlineLevel="1">
      <c r="A78" s="4"/>
      <c r="B78" s="68"/>
      <c r="C78" s="69" t="s">
        <v>118</v>
      </c>
      <c r="D78" s="69" t="s">
        <v>123</v>
      </c>
      <c r="E78" s="69" t="s">
        <v>39</v>
      </c>
      <c r="F78" s="69"/>
      <c r="G78" s="69"/>
      <c r="H78" s="69"/>
      <c r="I78" s="71">
        <v>34759</v>
      </c>
      <c r="J78" s="69"/>
      <c r="K78" s="70"/>
      <c r="L78" s="6"/>
      <c r="M78" s="6"/>
      <c r="N78" s="6"/>
      <c r="O78" s="6"/>
      <c r="P78" s="6"/>
      <c r="Q78" s="6"/>
      <c r="R78" s="6"/>
    </row>
    <row r="79" spans="1:18">
      <c r="A79" s="4"/>
      <c r="B79" s="68"/>
      <c r="C79" s="69" t="s">
        <v>124</v>
      </c>
      <c r="D79" s="69" t="s">
        <v>125</v>
      </c>
      <c r="E79" s="69" t="s">
        <v>60</v>
      </c>
      <c r="F79" s="69"/>
      <c r="G79" s="69"/>
      <c r="H79" s="69"/>
      <c r="I79" s="72">
        <v>33075</v>
      </c>
      <c r="J79" s="69"/>
      <c r="K79" s="70"/>
      <c r="L79" s="5"/>
      <c r="M79" s="5"/>
      <c r="N79" s="5"/>
      <c r="O79" s="5"/>
      <c r="P79" s="5"/>
      <c r="Q79" s="5"/>
      <c r="R79" s="5"/>
    </row>
    <row r="80" spans="1:18" ht="18" customHeight="1" outlineLevel="1">
      <c r="A80" s="4"/>
      <c r="B80" s="68"/>
      <c r="C80" s="69" t="s">
        <v>124</v>
      </c>
      <c r="D80" s="69" t="s">
        <v>126</v>
      </c>
      <c r="E80" s="69" t="s">
        <v>60</v>
      </c>
      <c r="F80" s="69"/>
      <c r="G80" s="69"/>
      <c r="H80" s="69"/>
      <c r="I80" s="72">
        <v>33646</v>
      </c>
      <c r="J80" s="69"/>
      <c r="K80" s="70"/>
      <c r="L80" s="5"/>
      <c r="M80" s="5"/>
      <c r="N80" s="5"/>
      <c r="O80" s="5"/>
      <c r="P80" s="5"/>
      <c r="Q80" s="5"/>
      <c r="R80" s="5"/>
    </row>
    <row r="81" spans="1:18" ht="18" customHeight="1" outlineLevel="1">
      <c r="A81" s="105"/>
      <c r="B81" s="106"/>
      <c r="C81" s="107" t="s">
        <v>401</v>
      </c>
      <c r="D81" s="108" t="s">
        <v>429</v>
      </c>
      <c r="E81" s="69" t="s">
        <v>60</v>
      </c>
      <c r="F81" s="108" t="s">
        <v>430</v>
      </c>
      <c r="G81" s="108"/>
      <c r="H81" s="108"/>
      <c r="I81" s="151">
        <v>33788</v>
      </c>
      <c r="J81" s="108"/>
      <c r="K81" s="130"/>
      <c r="L81" s="5"/>
      <c r="M81" s="5"/>
      <c r="N81" s="5"/>
      <c r="O81" s="5"/>
      <c r="P81" s="5"/>
      <c r="Q81" s="5"/>
      <c r="R81" s="5"/>
    </row>
    <row r="82" spans="1:18" ht="18" customHeight="1" outlineLevel="1">
      <c r="A82" s="4"/>
      <c r="B82" s="68"/>
      <c r="C82" s="69" t="s">
        <v>124</v>
      </c>
      <c r="D82" s="69" t="s">
        <v>127</v>
      </c>
      <c r="E82" s="69" t="s">
        <v>107</v>
      </c>
      <c r="F82" s="69"/>
      <c r="G82" s="69"/>
      <c r="H82" s="69"/>
      <c r="I82" s="72">
        <v>34470</v>
      </c>
      <c r="J82" s="69"/>
      <c r="K82" s="70"/>
      <c r="L82" s="5"/>
      <c r="M82" s="5"/>
      <c r="N82" s="5"/>
      <c r="O82" s="5"/>
      <c r="P82" s="5"/>
      <c r="Q82" s="5"/>
      <c r="R82" s="5"/>
    </row>
    <row r="83" spans="1:18" ht="18" customHeight="1" outlineLevel="1">
      <c r="A83" s="4">
        <v>6</v>
      </c>
      <c r="B83" s="20" t="s">
        <v>12</v>
      </c>
      <c r="C83" s="33"/>
      <c r="D83" s="33"/>
      <c r="E83" s="4"/>
      <c r="F83" s="4"/>
      <c r="G83" s="4"/>
      <c r="H83" s="4"/>
      <c r="I83" s="4"/>
      <c r="J83" s="4"/>
      <c r="K83" s="7"/>
      <c r="L83" s="5"/>
      <c r="M83" s="5"/>
      <c r="N83" s="5"/>
      <c r="O83" s="5"/>
      <c r="P83" s="5"/>
      <c r="Q83" s="5"/>
      <c r="R83" s="5"/>
    </row>
    <row r="84" spans="1:18" ht="18" customHeight="1" outlineLevel="1">
      <c r="A84" s="4"/>
      <c r="B84" s="57"/>
      <c r="C84" s="58" t="s">
        <v>128</v>
      </c>
      <c r="D84" s="58" t="s">
        <v>129</v>
      </c>
      <c r="E84" s="58" t="s">
        <v>61</v>
      </c>
      <c r="F84" s="58">
        <v>13</v>
      </c>
      <c r="G84" s="58"/>
      <c r="H84" s="58"/>
      <c r="I84" s="66">
        <v>34935</v>
      </c>
      <c r="J84" s="58"/>
      <c r="K84" s="60"/>
      <c r="L84" s="5"/>
      <c r="M84" s="5"/>
      <c r="N84" s="5"/>
      <c r="O84" s="5"/>
      <c r="P84" s="5"/>
      <c r="Q84" s="5"/>
      <c r="R84" s="5"/>
    </row>
    <row r="85" spans="1:18" ht="18" customHeight="1" outlineLevel="1">
      <c r="A85" s="4"/>
      <c r="B85" s="57"/>
      <c r="C85" s="58" t="s">
        <v>130</v>
      </c>
      <c r="D85" s="58" t="s">
        <v>131</v>
      </c>
      <c r="E85" s="58"/>
      <c r="F85" s="75" t="s">
        <v>132</v>
      </c>
      <c r="G85" s="58"/>
      <c r="H85" s="58"/>
      <c r="I85" s="58"/>
      <c r="J85" s="58"/>
      <c r="K85" s="60"/>
      <c r="L85" s="5"/>
      <c r="M85" s="5"/>
      <c r="N85" s="5"/>
      <c r="O85" s="5"/>
      <c r="P85" s="5"/>
      <c r="Q85" s="5"/>
      <c r="R85" s="5"/>
    </row>
    <row r="86" spans="1:18" ht="18" customHeight="1" outlineLevel="1">
      <c r="A86" s="4"/>
      <c r="B86" s="57"/>
      <c r="C86" s="58" t="s">
        <v>128</v>
      </c>
      <c r="D86" s="58" t="s">
        <v>133</v>
      </c>
      <c r="E86" s="58" t="s">
        <v>60</v>
      </c>
      <c r="F86" s="58">
        <v>15</v>
      </c>
      <c r="G86" s="58"/>
      <c r="H86" s="58"/>
      <c r="I86" s="58"/>
      <c r="J86" s="58"/>
      <c r="K86" s="60"/>
      <c r="L86" s="5"/>
      <c r="M86" s="5"/>
      <c r="N86" s="5"/>
      <c r="O86" s="5"/>
      <c r="P86" s="5"/>
      <c r="Q86" s="5"/>
      <c r="R86" s="5"/>
    </row>
    <row r="87" spans="1:18" ht="18" customHeight="1" outlineLevel="1">
      <c r="A87" s="4"/>
      <c r="B87" s="57"/>
      <c r="C87" s="58" t="s">
        <v>134</v>
      </c>
      <c r="D87" s="58"/>
      <c r="E87" s="58" t="s">
        <v>60</v>
      </c>
      <c r="F87" s="58">
        <v>10</v>
      </c>
      <c r="G87" s="58"/>
      <c r="H87" s="58"/>
      <c r="I87" s="58"/>
      <c r="J87" s="58"/>
      <c r="K87" s="60"/>
      <c r="L87" s="5"/>
      <c r="M87" s="5"/>
      <c r="N87" s="5"/>
      <c r="O87" s="5"/>
      <c r="P87" s="5"/>
      <c r="Q87" s="5"/>
      <c r="R87" s="5"/>
    </row>
    <row r="88" spans="1:18" ht="18" customHeight="1" outlineLevel="1">
      <c r="A88" s="4"/>
      <c r="B88" s="57"/>
      <c r="C88" s="58" t="s">
        <v>135</v>
      </c>
      <c r="D88" s="58"/>
      <c r="E88" s="58" t="s">
        <v>60</v>
      </c>
      <c r="F88" s="67" t="s">
        <v>136</v>
      </c>
      <c r="G88" s="58"/>
      <c r="H88" s="58"/>
      <c r="I88" s="58"/>
      <c r="J88" s="58"/>
      <c r="K88" s="60"/>
      <c r="L88" s="6"/>
      <c r="M88" s="6"/>
      <c r="N88" s="6"/>
      <c r="O88" s="6"/>
      <c r="P88" s="6"/>
      <c r="Q88" s="6"/>
      <c r="R88" s="6"/>
    </row>
    <row r="89" spans="1:18">
      <c r="A89" s="4"/>
      <c r="B89" s="57"/>
      <c r="C89" s="58" t="s">
        <v>137</v>
      </c>
      <c r="D89" s="58" t="s">
        <v>138</v>
      </c>
      <c r="E89" s="58" t="s">
        <v>61</v>
      </c>
      <c r="F89" s="58">
        <v>35</v>
      </c>
      <c r="G89" s="58"/>
      <c r="H89" s="58"/>
      <c r="I89" s="66">
        <v>34656</v>
      </c>
      <c r="J89" s="58"/>
      <c r="K89" s="60"/>
      <c r="L89" s="5"/>
      <c r="M89" s="5"/>
      <c r="N89" s="5"/>
      <c r="O89" s="5"/>
      <c r="P89" s="5"/>
      <c r="Q89" s="5"/>
      <c r="R89" s="5"/>
    </row>
    <row r="90" spans="1:18" ht="18" customHeight="1" outlineLevel="1">
      <c r="A90" s="4"/>
      <c r="B90" s="57"/>
      <c r="C90" s="58" t="s">
        <v>139</v>
      </c>
      <c r="D90" s="58" t="s">
        <v>140</v>
      </c>
      <c r="E90" s="58" t="s">
        <v>61</v>
      </c>
      <c r="F90" s="58">
        <v>45</v>
      </c>
      <c r="G90" s="58"/>
      <c r="H90" s="58"/>
      <c r="I90" s="66">
        <v>34438</v>
      </c>
      <c r="J90" s="58"/>
      <c r="K90" s="60"/>
      <c r="L90" s="5"/>
      <c r="M90" s="5"/>
      <c r="N90" s="5"/>
      <c r="O90" s="5"/>
      <c r="P90" s="5"/>
      <c r="Q90" s="5"/>
      <c r="R90" s="5"/>
    </row>
    <row r="91" spans="1:18" ht="18" customHeight="1" outlineLevel="1">
      <c r="A91" s="4"/>
      <c r="B91" s="57"/>
      <c r="C91" s="58"/>
      <c r="D91" s="58" t="s">
        <v>141</v>
      </c>
      <c r="E91" s="58" t="s">
        <v>60</v>
      </c>
      <c r="F91" s="58">
        <v>5</v>
      </c>
      <c r="G91" s="58"/>
      <c r="H91" s="58"/>
      <c r="I91" s="66">
        <v>34564</v>
      </c>
      <c r="J91" s="58"/>
      <c r="K91" s="60"/>
      <c r="L91" s="5"/>
      <c r="M91" s="5"/>
      <c r="N91" s="5"/>
      <c r="O91" s="5"/>
      <c r="P91" s="5"/>
      <c r="Q91" s="5"/>
      <c r="R91" s="5"/>
    </row>
    <row r="92" spans="1:18" ht="18" customHeight="1" outlineLevel="1">
      <c r="A92" s="105"/>
      <c r="B92" s="141"/>
      <c r="C92" s="142"/>
      <c r="D92" s="143"/>
      <c r="E92" s="143" t="s">
        <v>61</v>
      </c>
      <c r="F92" s="143" t="s">
        <v>425</v>
      </c>
      <c r="G92" s="143"/>
      <c r="H92" s="143"/>
      <c r="I92" s="144" t="s">
        <v>426</v>
      </c>
      <c r="J92" s="143"/>
      <c r="K92" s="132"/>
      <c r="L92" s="5"/>
      <c r="M92" s="5"/>
      <c r="N92" s="5"/>
      <c r="O92" s="5"/>
      <c r="P92" s="5"/>
      <c r="Q92" s="5"/>
      <c r="R92" s="5"/>
    </row>
    <row r="93" spans="1:18" ht="18" customHeight="1" outlineLevel="1">
      <c r="A93" s="4"/>
      <c r="B93" s="57"/>
      <c r="C93" s="58" t="s">
        <v>137</v>
      </c>
      <c r="D93" s="58" t="s">
        <v>142</v>
      </c>
      <c r="E93" s="58" t="s">
        <v>61</v>
      </c>
      <c r="F93" s="58">
        <v>25</v>
      </c>
      <c r="G93" s="58"/>
      <c r="H93" s="58"/>
      <c r="I93" s="66">
        <v>34656</v>
      </c>
      <c r="J93" s="58"/>
      <c r="K93" s="60"/>
      <c r="L93" s="5"/>
      <c r="M93" s="5"/>
      <c r="N93" s="5"/>
      <c r="O93" s="5"/>
      <c r="P93" s="5"/>
      <c r="Q93" s="5"/>
      <c r="R93" s="5"/>
    </row>
    <row r="94" spans="1:18" ht="18" customHeight="1" outlineLevel="1">
      <c r="A94" s="4">
        <v>7</v>
      </c>
      <c r="B94" s="20" t="s">
        <v>13</v>
      </c>
      <c r="C94" s="33"/>
      <c r="D94" s="33"/>
      <c r="E94" s="4"/>
      <c r="F94" s="4"/>
      <c r="G94" s="4"/>
      <c r="H94" s="4"/>
      <c r="I94" s="4"/>
      <c r="J94" s="4"/>
      <c r="K94" s="7"/>
      <c r="L94" s="5"/>
      <c r="M94" s="5"/>
      <c r="N94" s="5"/>
      <c r="O94" s="5"/>
      <c r="P94" s="5"/>
      <c r="Q94" s="5"/>
      <c r="R94" s="5"/>
    </row>
    <row r="95" spans="1:18" ht="18" customHeight="1" outlineLevel="1">
      <c r="A95" s="4"/>
      <c r="B95" s="81"/>
      <c r="C95" s="82" t="s">
        <v>143</v>
      </c>
      <c r="D95" s="82" t="s">
        <v>144</v>
      </c>
      <c r="E95" s="82"/>
      <c r="F95" s="82"/>
      <c r="G95" s="82"/>
      <c r="H95" s="82"/>
      <c r="I95" s="82"/>
      <c r="J95" s="82"/>
      <c r="K95" s="83"/>
      <c r="L95" s="5"/>
      <c r="M95" s="5"/>
      <c r="N95" s="5"/>
      <c r="O95" s="5"/>
      <c r="P95" s="5"/>
      <c r="Q95" s="5"/>
      <c r="R95" s="5"/>
    </row>
    <row r="96" spans="1:18" ht="18" customHeight="1" outlineLevel="1">
      <c r="A96" s="4"/>
      <c r="B96" s="81"/>
      <c r="C96" s="82" t="s">
        <v>143</v>
      </c>
      <c r="D96" s="82" t="s">
        <v>145</v>
      </c>
      <c r="E96" s="82"/>
      <c r="F96" s="82"/>
      <c r="G96" s="82"/>
      <c r="H96" s="82"/>
      <c r="I96" s="82"/>
      <c r="J96" s="82"/>
      <c r="K96" s="83"/>
      <c r="L96" s="5"/>
      <c r="M96" s="5"/>
      <c r="N96" s="5"/>
      <c r="O96" s="5"/>
      <c r="P96" s="5"/>
      <c r="Q96" s="5"/>
      <c r="R96" s="5"/>
    </row>
    <row r="97" spans="1:18" ht="18" customHeight="1" outlineLevel="1">
      <c r="A97" s="4"/>
      <c r="B97" s="81"/>
      <c r="C97" s="82" t="s">
        <v>143</v>
      </c>
      <c r="D97" s="82" t="s">
        <v>146</v>
      </c>
      <c r="E97" s="82"/>
      <c r="F97" s="82"/>
      <c r="G97" s="82"/>
      <c r="H97" s="82"/>
      <c r="I97" s="82"/>
      <c r="J97" s="82"/>
      <c r="K97" s="83"/>
      <c r="L97" s="5"/>
      <c r="M97" s="5"/>
      <c r="N97" s="5"/>
      <c r="O97" s="5"/>
      <c r="P97" s="5"/>
      <c r="Q97" s="5"/>
      <c r="R97" s="5"/>
    </row>
    <row r="98" spans="1:18" ht="18" customHeight="1" outlineLevel="1">
      <c r="A98" s="4"/>
      <c r="B98" s="81"/>
      <c r="C98" s="82" t="s">
        <v>143</v>
      </c>
      <c r="D98" s="82" t="s">
        <v>147</v>
      </c>
      <c r="E98" s="82"/>
      <c r="F98" s="82"/>
      <c r="G98" s="82"/>
      <c r="H98" s="82"/>
      <c r="I98" s="82"/>
      <c r="J98" s="82"/>
      <c r="K98" s="83"/>
      <c r="L98" s="5"/>
      <c r="M98" s="5"/>
      <c r="N98" s="5"/>
      <c r="O98" s="5"/>
      <c r="P98" s="5"/>
      <c r="Q98" s="5"/>
      <c r="R98" s="5"/>
    </row>
    <row r="99" spans="1:18" ht="18" customHeight="1" outlineLevel="1">
      <c r="A99" s="4"/>
      <c r="B99" s="81"/>
      <c r="C99" s="82" t="s">
        <v>148</v>
      </c>
      <c r="D99" s="82" t="s">
        <v>149</v>
      </c>
      <c r="E99" s="82"/>
      <c r="F99" s="82"/>
      <c r="G99" s="82"/>
      <c r="H99" s="82"/>
      <c r="I99" s="82"/>
      <c r="J99" s="82"/>
      <c r="K99" s="83"/>
      <c r="L99" s="5"/>
      <c r="M99" s="5"/>
      <c r="N99" s="5"/>
      <c r="O99" s="5"/>
      <c r="P99" s="5"/>
      <c r="Q99" s="5"/>
      <c r="R99" s="5"/>
    </row>
    <row r="100" spans="1:18" ht="18" customHeight="1" outlineLevel="1">
      <c r="A100" s="4"/>
      <c r="B100" s="81"/>
      <c r="C100" s="82" t="s">
        <v>148</v>
      </c>
      <c r="D100" s="82" t="s">
        <v>150</v>
      </c>
      <c r="E100" s="82"/>
      <c r="F100" s="82"/>
      <c r="G100" s="82"/>
      <c r="H100" s="82"/>
      <c r="I100" s="82"/>
      <c r="J100" s="82"/>
      <c r="K100" s="83"/>
      <c r="L100" s="6"/>
      <c r="M100" s="6"/>
      <c r="N100" s="6"/>
      <c r="O100" s="6"/>
      <c r="P100" s="6"/>
      <c r="Q100" s="6"/>
      <c r="R100" s="6"/>
    </row>
    <row r="101" spans="1:18" ht="18" customHeight="1" outlineLevel="1">
      <c r="A101" s="4"/>
      <c r="B101" s="81"/>
      <c r="C101" s="82" t="s">
        <v>148</v>
      </c>
      <c r="D101" s="82" t="s">
        <v>151</v>
      </c>
      <c r="E101" s="82"/>
      <c r="F101" s="82"/>
      <c r="G101" s="82"/>
      <c r="H101" s="82"/>
      <c r="I101" s="82"/>
      <c r="J101" s="82"/>
      <c r="K101" s="83"/>
      <c r="L101" s="5"/>
      <c r="M101" s="5"/>
      <c r="N101" s="5"/>
      <c r="O101" s="5"/>
      <c r="P101" s="5"/>
      <c r="Q101" s="5"/>
      <c r="R101" s="5"/>
    </row>
    <row r="102" spans="1:18">
      <c r="A102" s="4"/>
      <c r="B102" s="81"/>
      <c r="C102" s="82" t="s">
        <v>148</v>
      </c>
      <c r="D102" s="82" t="s">
        <v>152</v>
      </c>
      <c r="E102" s="82"/>
      <c r="F102" s="82"/>
      <c r="G102" s="82"/>
      <c r="H102" s="82"/>
      <c r="I102" s="82"/>
      <c r="J102" s="82"/>
      <c r="K102" s="83"/>
      <c r="L102" s="5"/>
      <c r="M102" s="5"/>
      <c r="N102" s="5"/>
      <c r="O102" s="5"/>
      <c r="P102" s="5"/>
      <c r="Q102" s="5"/>
      <c r="R102" s="5"/>
    </row>
    <row r="103" spans="1:18" ht="18" customHeight="1" outlineLevel="1">
      <c r="A103" s="4"/>
      <c r="B103" s="81"/>
      <c r="C103" s="82" t="s">
        <v>153</v>
      </c>
      <c r="D103" s="84" t="s">
        <v>154</v>
      </c>
      <c r="E103" s="82"/>
      <c r="F103" s="82"/>
      <c r="G103" s="82"/>
      <c r="H103" s="82"/>
      <c r="I103" s="82"/>
      <c r="J103" s="82"/>
      <c r="K103" s="83"/>
      <c r="L103" s="5"/>
      <c r="M103" s="5"/>
      <c r="N103" s="5"/>
      <c r="O103" s="5"/>
      <c r="P103" s="5"/>
      <c r="Q103" s="5"/>
      <c r="R103" s="5"/>
    </row>
    <row r="104" spans="1:18" ht="18" customHeight="1" outlineLevel="1">
      <c r="A104" s="4"/>
      <c r="B104" s="81"/>
      <c r="C104" s="82" t="s">
        <v>153</v>
      </c>
      <c r="D104" s="82" t="s">
        <v>155</v>
      </c>
      <c r="E104" s="82"/>
      <c r="F104" s="82"/>
      <c r="G104" s="82"/>
      <c r="H104" s="82"/>
      <c r="I104" s="82"/>
      <c r="J104" s="82"/>
      <c r="K104" s="83"/>
      <c r="L104" s="5"/>
      <c r="M104" s="5"/>
      <c r="N104" s="5"/>
      <c r="O104" s="5"/>
      <c r="P104" s="5"/>
      <c r="Q104" s="5"/>
      <c r="R104" s="5"/>
    </row>
    <row r="105" spans="1:18" ht="18" customHeight="1" outlineLevel="1">
      <c r="A105" s="4"/>
      <c r="B105" s="81"/>
      <c r="C105" s="82" t="s">
        <v>153</v>
      </c>
      <c r="D105" s="82" t="s">
        <v>156</v>
      </c>
      <c r="E105" s="82"/>
      <c r="F105" s="82"/>
      <c r="G105" s="82"/>
      <c r="H105" s="82"/>
      <c r="I105" s="82"/>
      <c r="J105" s="82"/>
      <c r="K105" s="83"/>
      <c r="L105" s="5"/>
      <c r="M105" s="5"/>
      <c r="N105" s="5"/>
      <c r="O105" s="5"/>
      <c r="P105" s="5"/>
      <c r="Q105" s="5"/>
      <c r="R105" s="5"/>
    </row>
    <row r="106" spans="1:18" ht="18" customHeight="1" outlineLevel="1">
      <c r="A106" s="4"/>
      <c r="B106" s="81"/>
      <c r="C106" s="82" t="s">
        <v>153</v>
      </c>
      <c r="D106" s="82" t="s">
        <v>157</v>
      </c>
      <c r="E106" s="82"/>
      <c r="F106" s="82"/>
      <c r="G106" s="82"/>
      <c r="H106" s="82"/>
      <c r="I106" s="82"/>
      <c r="J106" s="82"/>
      <c r="K106" s="83"/>
      <c r="L106" s="5"/>
      <c r="M106" s="5"/>
      <c r="N106" s="5"/>
      <c r="O106" s="5"/>
      <c r="P106" s="5"/>
      <c r="Q106" s="5"/>
      <c r="R106" s="5"/>
    </row>
    <row r="107" spans="1:18" ht="18" customHeight="1" outlineLevel="1">
      <c r="A107" s="4">
        <v>8</v>
      </c>
      <c r="B107" s="20" t="s">
        <v>14</v>
      </c>
      <c r="C107" s="33"/>
      <c r="D107" s="33"/>
      <c r="E107" s="4"/>
      <c r="F107" s="4"/>
      <c r="G107" s="4"/>
      <c r="H107" s="4"/>
      <c r="I107" s="4"/>
      <c r="J107" s="4"/>
      <c r="K107" s="7"/>
      <c r="L107" s="5"/>
      <c r="M107" s="5"/>
      <c r="N107" s="5"/>
      <c r="O107" s="5"/>
      <c r="P107" s="5"/>
      <c r="Q107" s="5"/>
      <c r="R107" s="5"/>
    </row>
    <row r="108" spans="1:18" ht="18" customHeight="1" outlineLevel="1">
      <c r="A108" s="4"/>
      <c r="B108" s="85"/>
      <c r="C108" s="86" t="s">
        <v>158</v>
      </c>
      <c r="D108" s="86" t="s">
        <v>159</v>
      </c>
      <c r="E108" s="86" t="s">
        <v>161</v>
      </c>
      <c r="F108" s="86">
        <v>213</v>
      </c>
      <c r="G108" s="86"/>
      <c r="H108" s="86"/>
      <c r="I108" s="86">
        <v>2003</v>
      </c>
      <c r="J108" s="86"/>
      <c r="K108" s="87"/>
      <c r="L108" s="5"/>
      <c r="M108" s="5"/>
      <c r="N108" s="5"/>
      <c r="O108" s="5"/>
      <c r="P108" s="5"/>
      <c r="Q108" s="5"/>
      <c r="R108" s="5"/>
    </row>
    <row r="109" spans="1:18" ht="18" customHeight="1" outlineLevel="1">
      <c r="A109" s="4"/>
      <c r="B109" s="85"/>
      <c r="C109" s="86" t="s">
        <v>158</v>
      </c>
      <c r="D109" s="86" t="s">
        <v>160</v>
      </c>
      <c r="E109" s="86" t="s">
        <v>161</v>
      </c>
      <c r="F109" s="86">
        <v>112</v>
      </c>
      <c r="G109" s="86"/>
      <c r="H109" s="86"/>
      <c r="I109" s="86">
        <v>2003</v>
      </c>
      <c r="J109" s="86"/>
      <c r="K109" s="87"/>
      <c r="L109" s="5"/>
      <c r="M109" s="5"/>
      <c r="N109" s="5"/>
      <c r="O109" s="5"/>
      <c r="P109" s="5"/>
      <c r="Q109" s="5"/>
      <c r="R109" s="5"/>
    </row>
    <row r="110" spans="1:18" ht="18" customHeight="1" outlineLevel="1">
      <c r="A110" s="4"/>
      <c r="B110" s="85"/>
      <c r="C110" s="86" t="s">
        <v>162</v>
      </c>
      <c r="D110" s="86" t="s">
        <v>163</v>
      </c>
      <c r="E110" s="86" t="s">
        <v>164</v>
      </c>
      <c r="F110" s="86">
        <v>86</v>
      </c>
      <c r="G110" s="86"/>
      <c r="H110" s="86"/>
      <c r="I110" s="86">
        <v>1993</v>
      </c>
      <c r="J110" s="86"/>
      <c r="K110" s="87"/>
      <c r="L110" s="5"/>
      <c r="M110" s="5"/>
      <c r="N110" s="5"/>
      <c r="O110" s="5"/>
      <c r="P110" s="5"/>
      <c r="Q110" s="5"/>
      <c r="R110" s="5"/>
    </row>
    <row r="111" spans="1:18" ht="18" customHeight="1" outlineLevel="1">
      <c r="A111" s="4"/>
      <c r="B111" s="85"/>
      <c r="C111" s="86" t="s">
        <v>162</v>
      </c>
      <c r="D111" s="86" t="s">
        <v>165</v>
      </c>
      <c r="E111" s="86" t="s">
        <v>167</v>
      </c>
      <c r="F111" s="86">
        <v>75</v>
      </c>
      <c r="G111" s="86"/>
      <c r="H111" s="86"/>
      <c r="I111" s="86">
        <v>1993</v>
      </c>
      <c r="J111" s="86"/>
      <c r="K111" s="87"/>
      <c r="L111" s="5"/>
      <c r="M111" s="5"/>
      <c r="N111" s="5"/>
      <c r="O111" s="5"/>
      <c r="P111" s="5"/>
      <c r="Q111" s="5"/>
      <c r="R111" s="5"/>
    </row>
    <row r="112" spans="1:18" ht="18" customHeight="1" outlineLevel="1">
      <c r="A112" s="4"/>
      <c r="B112" s="85"/>
      <c r="C112" s="86" t="s">
        <v>162</v>
      </c>
      <c r="D112" s="86" t="s">
        <v>166</v>
      </c>
      <c r="E112" s="86" t="s">
        <v>167</v>
      </c>
      <c r="F112" s="86">
        <v>100</v>
      </c>
      <c r="G112" s="86"/>
      <c r="H112" s="86"/>
      <c r="I112" s="86">
        <v>1993</v>
      </c>
      <c r="J112" s="86"/>
      <c r="K112" s="87"/>
      <c r="L112" s="5"/>
      <c r="M112" s="5"/>
      <c r="N112" s="5"/>
      <c r="O112" s="5"/>
      <c r="P112" s="5"/>
      <c r="Q112" s="5"/>
      <c r="R112" s="5"/>
    </row>
    <row r="113" spans="1:18" ht="18" customHeight="1" outlineLevel="1">
      <c r="A113" s="4"/>
      <c r="B113" s="85"/>
      <c r="C113" s="86" t="s">
        <v>168</v>
      </c>
      <c r="D113" s="86" t="s">
        <v>169</v>
      </c>
      <c r="E113" s="86" t="s">
        <v>60</v>
      </c>
      <c r="F113" s="86">
        <v>387</v>
      </c>
      <c r="G113" s="86"/>
      <c r="H113" s="86"/>
      <c r="I113" s="86">
        <v>1990</v>
      </c>
      <c r="J113" s="86"/>
      <c r="K113" s="188" t="s">
        <v>453</v>
      </c>
      <c r="L113" s="5"/>
      <c r="M113" s="5"/>
      <c r="N113" s="5"/>
      <c r="O113" s="5"/>
      <c r="P113" s="5"/>
      <c r="Q113" s="5"/>
      <c r="R113" s="5"/>
    </row>
    <row r="114" spans="1:18" ht="18" customHeight="1" outlineLevel="1">
      <c r="A114" s="4"/>
      <c r="B114" s="85"/>
      <c r="C114" s="86" t="s">
        <v>168</v>
      </c>
      <c r="D114" s="86" t="s">
        <v>171</v>
      </c>
      <c r="E114" s="86" t="s">
        <v>60</v>
      </c>
      <c r="F114" s="86">
        <v>27</v>
      </c>
      <c r="G114" s="86"/>
      <c r="H114" s="86"/>
      <c r="I114" s="86">
        <v>1990</v>
      </c>
      <c r="J114" s="86"/>
      <c r="K114" s="87"/>
      <c r="L114" s="5"/>
      <c r="M114" s="5"/>
      <c r="N114" s="5"/>
      <c r="O114" s="5"/>
      <c r="P114" s="5"/>
      <c r="Q114" s="5"/>
      <c r="R114" s="5"/>
    </row>
    <row r="115" spans="1:18" ht="18" customHeight="1" outlineLevel="1">
      <c r="A115" s="4"/>
      <c r="B115" s="85"/>
      <c r="C115" s="86" t="s">
        <v>168</v>
      </c>
      <c r="D115" s="86" t="s">
        <v>172</v>
      </c>
      <c r="E115" s="86" t="s">
        <v>60</v>
      </c>
      <c r="F115" s="86">
        <v>47</v>
      </c>
      <c r="G115" s="86"/>
      <c r="H115" s="86"/>
      <c r="I115" s="86">
        <v>1991</v>
      </c>
      <c r="J115" s="86"/>
      <c r="K115" s="87"/>
      <c r="L115" s="5"/>
      <c r="M115" s="5"/>
      <c r="N115" s="5"/>
      <c r="O115" s="5"/>
      <c r="P115" s="5"/>
      <c r="Q115" s="5"/>
      <c r="R115" s="5"/>
    </row>
    <row r="116" spans="1:18" ht="18" customHeight="1" outlineLevel="1">
      <c r="A116" s="4"/>
      <c r="B116" s="85"/>
      <c r="C116" s="86" t="s">
        <v>168</v>
      </c>
      <c r="D116" s="86" t="s">
        <v>173</v>
      </c>
      <c r="E116" s="86" t="s">
        <v>164</v>
      </c>
      <c r="F116" s="86">
        <v>142</v>
      </c>
      <c r="G116" s="86"/>
      <c r="H116" s="86"/>
      <c r="I116" s="86">
        <v>1993</v>
      </c>
      <c r="J116" s="86"/>
      <c r="K116" s="87"/>
      <c r="L116" s="5"/>
      <c r="M116" s="5"/>
      <c r="N116" s="5"/>
      <c r="O116" s="5"/>
      <c r="P116" s="5"/>
      <c r="Q116" s="5"/>
      <c r="R116" s="5"/>
    </row>
    <row r="117" spans="1:18" ht="18" customHeight="1" outlineLevel="1">
      <c r="A117" s="4"/>
      <c r="B117" s="85"/>
      <c r="C117" s="86" t="s">
        <v>168</v>
      </c>
      <c r="D117" s="86" t="s">
        <v>174</v>
      </c>
      <c r="E117" s="86" t="s">
        <v>167</v>
      </c>
      <c r="F117" s="86">
        <v>86</v>
      </c>
      <c r="G117" s="86"/>
      <c r="H117" s="86"/>
      <c r="I117" s="86">
        <v>1993</v>
      </c>
      <c r="J117" s="86"/>
      <c r="K117" s="87"/>
      <c r="L117" s="5"/>
      <c r="M117" s="5"/>
      <c r="N117" s="5"/>
      <c r="O117" s="5"/>
      <c r="P117" s="5"/>
      <c r="Q117" s="5"/>
      <c r="R117" s="5"/>
    </row>
    <row r="118" spans="1:18" ht="18" customHeight="1" outlineLevel="1">
      <c r="A118" s="4"/>
      <c r="B118" s="85"/>
      <c r="C118" s="86" t="s">
        <v>168</v>
      </c>
      <c r="D118" s="86" t="s">
        <v>175</v>
      </c>
      <c r="E118" s="86" t="s">
        <v>164</v>
      </c>
      <c r="F118" s="86">
        <v>55</v>
      </c>
      <c r="G118" s="86"/>
      <c r="H118" s="86"/>
      <c r="I118" s="86">
        <v>1993</v>
      </c>
      <c r="J118" s="86"/>
      <c r="K118" s="87"/>
      <c r="L118" s="5"/>
      <c r="M118" s="5"/>
      <c r="N118" s="5"/>
      <c r="O118" s="5"/>
      <c r="P118" s="5"/>
      <c r="Q118" s="5"/>
      <c r="R118" s="5"/>
    </row>
    <row r="119" spans="1:18" ht="18" customHeight="1" outlineLevel="1">
      <c r="A119" s="4"/>
      <c r="B119" s="85"/>
      <c r="C119" s="86" t="s">
        <v>168</v>
      </c>
      <c r="D119" s="86" t="s">
        <v>176</v>
      </c>
      <c r="E119" s="86" t="s">
        <v>164</v>
      </c>
      <c r="F119" s="86">
        <v>47</v>
      </c>
      <c r="G119" s="86"/>
      <c r="H119" s="86"/>
      <c r="I119" s="86">
        <v>1993</v>
      </c>
      <c r="J119" s="86"/>
      <c r="K119" s="87"/>
      <c r="L119" s="5"/>
      <c r="M119" s="5"/>
      <c r="N119" s="5"/>
      <c r="O119" s="5"/>
      <c r="P119" s="5"/>
      <c r="Q119" s="5"/>
      <c r="R119" s="5"/>
    </row>
    <row r="120" spans="1:18" ht="18" customHeight="1" outlineLevel="1">
      <c r="A120" s="4"/>
      <c r="B120" s="85"/>
      <c r="C120" s="86" t="s">
        <v>168</v>
      </c>
      <c r="D120" s="86" t="s">
        <v>177</v>
      </c>
      <c r="E120" s="86" t="s">
        <v>164</v>
      </c>
      <c r="F120" s="86">
        <v>40</v>
      </c>
      <c r="G120" s="86"/>
      <c r="H120" s="86"/>
      <c r="I120" s="86">
        <v>1993</v>
      </c>
      <c r="J120" s="86"/>
      <c r="K120" s="188" t="s">
        <v>452</v>
      </c>
      <c r="L120" s="5"/>
      <c r="M120" s="5"/>
      <c r="N120" s="5"/>
      <c r="O120" s="5"/>
      <c r="P120" s="5"/>
      <c r="Q120" s="5"/>
      <c r="R120" s="5"/>
    </row>
    <row r="121" spans="1:18" ht="18" customHeight="1" outlineLevel="1">
      <c r="A121" s="4"/>
      <c r="B121" s="85"/>
      <c r="C121" s="86" t="s">
        <v>168</v>
      </c>
      <c r="D121" s="86" t="s">
        <v>178</v>
      </c>
      <c r="E121" s="86" t="s">
        <v>164</v>
      </c>
      <c r="F121" s="86">
        <v>37</v>
      </c>
      <c r="G121" s="86"/>
      <c r="H121" s="86"/>
      <c r="I121" s="86">
        <v>1993</v>
      </c>
      <c r="J121" s="86"/>
      <c r="K121" s="87"/>
      <c r="L121" s="5"/>
      <c r="M121" s="5"/>
      <c r="N121" s="5"/>
      <c r="O121" s="5"/>
      <c r="P121" s="5"/>
      <c r="Q121" s="5"/>
      <c r="R121" s="5"/>
    </row>
    <row r="122" spans="1:18" ht="18" customHeight="1" outlineLevel="1">
      <c r="A122" s="4"/>
      <c r="B122" s="85"/>
      <c r="C122" s="86" t="s">
        <v>168</v>
      </c>
      <c r="D122" s="86" t="s">
        <v>179</v>
      </c>
      <c r="E122" s="86" t="s">
        <v>164</v>
      </c>
      <c r="F122" s="86">
        <v>11</v>
      </c>
      <c r="G122" s="86"/>
      <c r="H122" s="86"/>
      <c r="I122" s="86">
        <v>1993</v>
      </c>
      <c r="J122" s="86"/>
      <c r="K122" s="87"/>
      <c r="L122" s="5"/>
      <c r="M122" s="5"/>
      <c r="N122" s="5"/>
      <c r="O122" s="5"/>
      <c r="P122" s="5"/>
      <c r="Q122" s="5"/>
      <c r="R122" s="5"/>
    </row>
    <row r="123" spans="1:18" ht="18" customHeight="1" outlineLevel="1">
      <c r="A123" s="4"/>
      <c r="B123" s="85"/>
      <c r="C123" s="86" t="s">
        <v>168</v>
      </c>
      <c r="D123" s="86" t="s">
        <v>180</v>
      </c>
      <c r="E123" s="86" t="s">
        <v>164</v>
      </c>
      <c r="F123" s="86">
        <v>25</v>
      </c>
      <c r="G123" s="86"/>
      <c r="H123" s="86"/>
      <c r="I123" s="86">
        <v>1993</v>
      </c>
      <c r="J123" s="86"/>
      <c r="K123" s="87"/>
      <c r="L123" s="5"/>
      <c r="M123" s="5"/>
      <c r="N123" s="5"/>
      <c r="O123" s="5"/>
      <c r="P123" s="5"/>
      <c r="Q123" s="5"/>
      <c r="R123" s="5"/>
    </row>
    <row r="124" spans="1:18" ht="18" customHeight="1" outlineLevel="1">
      <c r="A124" s="4"/>
      <c r="B124" s="85"/>
      <c r="C124" s="86" t="s">
        <v>168</v>
      </c>
      <c r="D124" s="86" t="s">
        <v>181</v>
      </c>
      <c r="E124" s="86" t="s">
        <v>164</v>
      </c>
      <c r="F124" s="86">
        <v>20</v>
      </c>
      <c r="G124" s="86"/>
      <c r="H124" s="86"/>
      <c r="I124" s="86">
        <v>1993</v>
      </c>
      <c r="J124" s="86"/>
      <c r="K124" s="87"/>
      <c r="L124" s="5"/>
      <c r="M124" s="5"/>
      <c r="N124" s="5"/>
      <c r="O124" s="5"/>
      <c r="P124" s="5"/>
      <c r="Q124" s="5"/>
      <c r="R124" s="5"/>
    </row>
    <row r="125" spans="1:18" ht="18" customHeight="1" outlineLevel="1">
      <c r="A125" s="4"/>
      <c r="B125" s="85"/>
      <c r="C125" s="86" t="s">
        <v>168</v>
      </c>
      <c r="D125" s="86" t="s">
        <v>182</v>
      </c>
      <c r="E125" s="86" t="s">
        <v>164</v>
      </c>
      <c r="F125" s="86">
        <v>60</v>
      </c>
      <c r="G125" s="86"/>
      <c r="H125" s="86"/>
      <c r="I125" s="86">
        <v>1993</v>
      </c>
      <c r="J125" s="86"/>
      <c r="K125" s="87"/>
      <c r="L125" s="5"/>
      <c r="M125" s="5"/>
      <c r="N125" s="5"/>
      <c r="O125" s="5"/>
      <c r="P125" s="5"/>
      <c r="Q125" s="5"/>
      <c r="R125" s="5"/>
    </row>
    <row r="126" spans="1:18" ht="18" customHeight="1" outlineLevel="1">
      <c r="A126" s="4"/>
      <c r="B126" s="85"/>
      <c r="C126" s="86" t="s">
        <v>168</v>
      </c>
      <c r="D126" s="86" t="s">
        <v>183</v>
      </c>
      <c r="E126" s="86" t="s">
        <v>170</v>
      </c>
      <c r="F126" s="86">
        <v>27</v>
      </c>
      <c r="G126" s="86"/>
      <c r="H126" s="86"/>
      <c r="I126" s="86">
        <v>2003</v>
      </c>
      <c r="J126" s="86"/>
      <c r="K126" s="87"/>
      <c r="L126" s="5"/>
      <c r="M126" s="5"/>
      <c r="N126" s="5"/>
      <c r="O126" s="5"/>
      <c r="P126" s="5"/>
      <c r="Q126" s="5"/>
      <c r="R126" s="5"/>
    </row>
    <row r="127" spans="1:18" ht="18" customHeight="1" outlineLevel="1">
      <c r="A127" s="4"/>
      <c r="B127" s="85"/>
      <c r="C127" s="86" t="s">
        <v>168</v>
      </c>
      <c r="D127" s="103" t="s">
        <v>184</v>
      </c>
      <c r="E127" s="86" t="s">
        <v>39</v>
      </c>
      <c r="F127" s="86">
        <v>750</v>
      </c>
      <c r="G127" s="86"/>
      <c r="H127" s="86"/>
      <c r="I127" s="86">
        <v>1993</v>
      </c>
      <c r="J127" s="86"/>
      <c r="K127" s="87"/>
      <c r="L127" s="5"/>
      <c r="M127" s="5"/>
      <c r="N127" s="5"/>
      <c r="O127" s="5"/>
      <c r="P127" s="5"/>
      <c r="Q127" s="5"/>
      <c r="R127" s="5"/>
    </row>
    <row r="128" spans="1:18" ht="18" customHeight="1" outlineLevel="1">
      <c r="A128" s="4"/>
      <c r="B128" s="85"/>
      <c r="C128" s="86" t="s">
        <v>185</v>
      </c>
      <c r="D128" s="86" t="s">
        <v>187</v>
      </c>
      <c r="E128" s="86" t="s">
        <v>200</v>
      </c>
      <c r="F128" s="86">
        <v>550</v>
      </c>
      <c r="G128" s="86"/>
      <c r="H128" s="86"/>
      <c r="I128" s="86">
        <v>2003</v>
      </c>
      <c r="J128" s="86"/>
      <c r="K128" s="87"/>
      <c r="L128" s="5"/>
      <c r="M128" s="5"/>
      <c r="N128" s="5"/>
      <c r="O128" s="5"/>
      <c r="P128" s="5"/>
      <c r="Q128" s="5"/>
      <c r="R128" s="5"/>
    </row>
    <row r="129" spans="1:18" ht="18" customHeight="1" outlineLevel="1">
      <c r="A129" s="4"/>
      <c r="B129" s="85"/>
      <c r="C129" s="86" t="s">
        <v>185</v>
      </c>
      <c r="D129" s="104" t="s">
        <v>376</v>
      </c>
      <c r="E129" s="86" t="s">
        <v>200</v>
      </c>
      <c r="F129" s="86">
        <v>800</v>
      </c>
      <c r="G129" s="86"/>
      <c r="H129" s="86"/>
      <c r="I129" s="86">
        <v>2002</v>
      </c>
      <c r="J129" s="86"/>
      <c r="K129" s="87"/>
      <c r="L129" s="5"/>
      <c r="M129" s="5"/>
      <c r="N129" s="5"/>
      <c r="O129" s="5"/>
      <c r="P129" s="5"/>
      <c r="Q129" s="5"/>
      <c r="R129" s="5"/>
    </row>
    <row r="130" spans="1:18" ht="18" customHeight="1" outlineLevel="1">
      <c r="A130" s="4"/>
      <c r="B130" s="85"/>
      <c r="C130" s="86" t="s">
        <v>185</v>
      </c>
      <c r="D130" s="86" t="s">
        <v>189</v>
      </c>
      <c r="E130" s="86" t="s">
        <v>200</v>
      </c>
      <c r="F130" s="86">
        <v>100</v>
      </c>
      <c r="G130" s="86"/>
      <c r="H130" s="86"/>
      <c r="I130" s="86">
        <v>2002</v>
      </c>
      <c r="J130" s="86"/>
      <c r="K130" s="87"/>
      <c r="L130" s="5"/>
      <c r="M130" s="5"/>
      <c r="N130" s="5"/>
      <c r="O130" s="5"/>
      <c r="P130" s="5"/>
      <c r="Q130" s="5"/>
      <c r="R130" s="5"/>
    </row>
    <row r="131" spans="1:18" ht="18" customHeight="1" outlineLevel="1">
      <c r="A131" s="4"/>
      <c r="B131" s="85"/>
      <c r="C131" s="86" t="s">
        <v>185</v>
      </c>
      <c r="D131" s="86" t="s">
        <v>190</v>
      </c>
      <c r="E131" s="86" t="s">
        <v>200</v>
      </c>
      <c r="F131" s="86">
        <v>100</v>
      </c>
      <c r="G131" s="86"/>
      <c r="H131" s="86"/>
      <c r="I131" s="86">
        <v>2002</v>
      </c>
      <c r="J131" s="86"/>
      <c r="K131" s="87"/>
      <c r="L131" s="5"/>
      <c r="M131" s="5"/>
      <c r="N131" s="5"/>
      <c r="O131" s="5"/>
      <c r="P131" s="5"/>
      <c r="Q131" s="5"/>
      <c r="R131" s="5"/>
    </row>
    <row r="132" spans="1:18" ht="18" customHeight="1" outlineLevel="1">
      <c r="A132" s="4"/>
      <c r="B132" s="85"/>
      <c r="C132" s="86" t="s">
        <v>185</v>
      </c>
      <c r="D132" s="86" t="s">
        <v>191</v>
      </c>
      <c r="E132" s="86" t="s">
        <v>164</v>
      </c>
      <c r="F132" s="86">
        <v>36</v>
      </c>
      <c r="G132" s="86"/>
      <c r="H132" s="86"/>
      <c r="I132" s="86">
        <v>1993</v>
      </c>
      <c r="J132" s="86"/>
      <c r="K132" s="87"/>
      <c r="L132" s="5"/>
      <c r="M132" s="5"/>
      <c r="N132" s="5"/>
      <c r="O132" s="5"/>
      <c r="P132" s="5"/>
      <c r="Q132" s="5"/>
      <c r="R132" s="5"/>
    </row>
    <row r="133" spans="1:18" ht="18" customHeight="1" outlineLevel="1">
      <c r="A133" s="4"/>
      <c r="B133" s="85"/>
      <c r="C133" s="86" t="s">
        <v>185</v>
      </c>
      <c r="D133" s="86" t="s">
        <v>192</v>
      </c>
      <c r="E133" s="86" t="s">
        <v>200</v>
      </c>
      <c r="F133" s="86">
        <v>147</v>
      </c>
      <c r="G133" s="86"/>
      <c r="H133" s="86"/>
      <c r="I133" s="86">
        <v>2002</v>
      </c>
      <c r="J133" s="86"/>
      <c r="K133" s="87"/>
      <c r="L133" s="6"/>
      <c r="M133" s="6"/>
      <c r="N133" s="6"/>
      <c r="O133" s="6"/>
      <c r="P133" s="6"/>
      <c r="Q133" s="6"/>
      <c r="R133" s="6"/>
    </row>
    <row r="134" spans="1:18" ht="18" customHeight="1" outlineLevel="1">
      <c r="A134" s="4"/>
      <c r="B134" s="85"/>
      <c r="C134" s="86" t="s">
        <v>185</v>
      </c>
      <c r="D134" s="86" t="s">
        <v>193</v>
      </c>
      <c r="E134" s="86" t="s">
        <v>200</v>
      </c>
      <c r="F134" s="86">
        <v>300</v>
      </c>
      <c r="G134" s="86"/>
      <c r="H134" s="86"/>
      <c r="I134" s="86">
        <v>2002</v>
      </c>
      <c r="J134" s="86"/>
      <c r="K134" s="87"/>
      <c r="L134" s="5"/>
      <c r="M134" s="5"/>
      <c r="N134" s="5"/>
      <c r="O134" s="5"/>
      <c r="P134" s="5"/>
      <c r="Q134" s="5"/>
      <c r="R134" s="5"/>
    </row>
    <row r="135" spans="1:18">
      <c r="A135" s="4"/>
      <c r="B135" s="85"/>
      <c r="C135" s="86" t="s">
        <v>186</v>
      </c>
      <c r="D135" s="86" t="s">
        <v>194</v>
      </c>
      <c r="E135" s="86" t="s">
        <v>164</v>
      </c>
      <c r="F135" s="86">
        <v>45</v>
      </c>
      <c r="G135" s="86"/>
      <c r="H135" s="86"/>
      <c r="I135" s="86">
        <v>1993</v>
      </c>
      <c r="J135" s="86"/>
      <c r="K135" s="87"/>
      <c r="L135" s="5"/>
      <c r="M135" s="5"/>
      <c r="N135" s="5"/>
      <c r="O135" s="5"/>
      <c r="P135" s="5"/>
      <c r="Q135" s="5"/>
      <c r="R135" s="5"/>
    </row>
    <row r="136" spans="1:18" ht="18" customHeight="1" outlineLevel="1">
      <c r="A136" s="4"/>
      <c r="B136" s="85"/>
      <c r="C136" s="86" t="s">
        <v>186</v>
      </c>
      <c r="D136" s="86" t="s">
        <v>195</v>
      </c>
      <c r="E136" s="86" t="s">
        <v>60</v>
      </c>
      <c r="F136" s="86">
        <v>27</v>
      </c>
      <c r="G136" s="86"/>
      <c r="H136" s="86"/>
      <c r="I136" s="86">
        <v>1992</v>
      </c>
      <c r="J136" s="86"/>
      <c r="K136" s="87"/>
      <c r="L136" s="5"/>
      <c r="M136" s="5"/>
      <c r="N136" s="5"/>
      <c r="O136" s="5"/>
      <c r="P136" s="5"/>
      <c r="Q136" s="5"/>
      <c r="R136" s="5"/>
    </row>
    <row r="137" spans="1:18" ht="18" customHeight="1" outlineLevel="1">
      <c r="A137" s="4"/>
      <c r="B137" s="85"/>
      <c r="C137" s="86" t="s">
        <v>196</v>
      </c>
      <c r="D137" s="86" t="s">
        <v>197</v>
      </c>
      <c r="E137" s="86" t="s">
        <v>164</v>
      </c>
      <c r="F137" s="86">
        <v>130</v>
      </c>
      <c r="G137" s="86"/>
      <c r="H137" s="86"/>
      <c r="I137" s="86">
        <v>1993</v>
      </c>
      <c r="J137" s="86"/>
      <c r="K137" s="87"/>
      <c r="L137" s="5"/>
      <c r="M137" s="5"/>
      <c r="N137" s="5"/>
      <c r="O137" s="5"/>
      <c r="P137" s="5"/>
      <c r="Q137" s="5"/>
      <c r="R137" s="5"/>
    </row>
    <row r="138" spans="1:18" ht="18" customHeight="1" outlineLevel="1">
      <c r="A138" s="4"/>
      <c r="B138" s="85"/>
      <c r="C138" s="86" t="s">
        <v>196</v>
      </c>
      <c r="D138" s="86" t="s">
        <v>198</v>
      </c>
      <c r="E138" s="86" t="s">
        <v>164</v>
      </c>
      <c r="F138" s="86">
        <v>207</v>
      </c>
      <c r="G138" s="86"/>
      <c r="H138" s="86"/>
      <c r="I138" s="86">
        <v>1993</v>
      </c>
      <c r="J138" s="86"/>
      <c r="K138" s="87"/>
      <c r="L138" s="5"/>
      <c r="M138" s="5"/>
      <c r="N138" s="5"/>
      <c r="O138" s="5"/>
      <c r="P138" s="5"/>
      <c r="Q138" s="5"/>
      <c r="R138" s="5"/>
    </row>
    <row r="139" spans="1:18" ht="18" customHeight="1" outlineLevel="1">
      <c r="A139" s="105"/>
      <c r="B139" s="118"/>
      <c r="C139" s="119" t="s">
        <v>196</v>
      </c>
      <c r="D139" s="120" t="s">
        <v>199</v>
      </c>
      <c r="E139" s="120" t="s">
        <v>164</v>
      </c>
      <c r="F139" s="120">
        <v>75</v>
      </c>
      <c r="G139" s="120"/>
      <c r="H139" s="120"/>
      <c r="I139" s="120">
        <v>1993</v>
      </c>
      <c r="J139" s="120"/>
      <c r="K139" s="117"/>
      <c r="L139" s="5"/>
      <c r="M139" s="5"/>
      <c r="N139" s="5"/>
      <c r="O139" s="5"/>
      <c r="P139" s="5"/>
      <c r="Q139" s="5"/>
      <c r="R139" s="5"/>
    </row>
    <row r="140" spans="1:18" ht="18" customHeight="1" outlineLevel="1">
      <c r="A140" s="105"/>
      <c r="B140" s="118"/>
      <c r="C140" s="119" t="s">
        <v>196</v>
      </c>
      <c r="D140" s="120" t="s">
        <v>401</v>
      </c>
      <c r="E140" s="120" t="s">
        <v>401</v>
      </c>
      <c r="F140" s="120" t="s">
        <v>402</v>
      </c>
      <c r="G140" s="120"/>
      <c r="H140" s="120"/>
      <c r="I140" s="120">
        <v>1993</v>
      </c>
      <c r="J140" s="120"/>
      <c r="K140" s="117"/>
      <c r="L140" s="5"/>
      <c r="M140" s="5"/>
      <c r="N140" s="5"/>
      <c r="O140" s="5"/>
      <c r="P140" s="5"/>
      <c r="Q140" s="5"/>
      <c r="R140" s="5"/>
    </row>
    <row r="141" spans="1:18" ht="18" customHeight="1" outlineLevel="1">
      <c r="A141" s="105"/>
      <c r="B141" s="118"/>
      <c r="C141" s="119" t="s">
        <v>162</v>
      </c>
      <c r="D141" s="120" t="s">
        <v>401</v>
      </c>
      <c r="E141" s="120" t="s">
        <v>164</v>
      </c>
      <c r="F141" s="120" t="s">
        <v>403</v>
      </c>
      <c r="G141" s="120"/>
      <c r="H141" s="120"/>
      <c r="I141" s="121" t="s">
        <v>404</v>
      </c>
      <c r="J141" s="120"/>
      <c r="K141" s="117"/>
      <c r="L141" s="5"/>
      <c r="M141" s="5"/>
      <c r="N141" s="5"/>
      <c r="O141" s="5"/>
      <c r="P141" s="5"/>
      <c r="Q141" s="5"/>
      <c r="R141" s="5"/>
    </row>
    <row r="142" spans="1:18" ht="18" customHeight="1" outlineLevel="1">
      <c r="A142" s="105"/>
      <c r="B142" s="118"/>
      <c r="C142" s="119" t="s">
        <v>168</v>
      </c>
      <c r="D142" s="120" t="s">
        <v>401</v>
      </c>
      <c r="E142" s="120" t="s">
        <v>164</v>
      </c>
      <c r="F142" s="120" t="s">
        <v>405</v>
      </c>
      <c r="G142" s="120"/>
      <c r="H142" s="120"/>
      <c r="I142" s="121" t="s">
        <v>406</v>
      </c>
      <c r="J142" s="120"/>
      <c r="K142" s="117"/>
      <c r="L142" s="6"/>
      <c r="M142" s="6"/>
      <c r="N142" s="6"/>
      <c r="O142" s="6"/>
      <c r="P142" s="6"/>
      <c r="Q142" s="6"/>
      <c r="R142" s="6"/>
    </row>
    <row r="143" spans="1:18" ht="18" customHeight="1" outlineLevel="1">
      <c r="A143" s="105"/>
      <c r="B143" s="118"/>
      <c r="C143" s="119" t="s">
        <v>168</v>
      </c>
      <c r="D143" s="120" t="s">
        <v>99</v>
      </c>
      <c r="E143" s="120" t="s">
        <v>164</v>
      </c>
      <c r="F143" s="120" t="s">
        <v>407</v>
      </c>
      <c r="G143" s="120"/>
      <c r="H143" s="120"/>
      <c r="I143" s="122">
        <v>34547</v>
      </c>
      <c r="J143" s="120"/>
      <c r="K143" s="117"/>
      <c r="L143" s="5"/>
      <c r="M143" s="5"/>
      <c r="N143" s="5"/>
      <c r="O143" s="5"/>
      <c r="P143" s="5"/>
      <c r="Q143" s="5"/>
      <c r="R143" s="5"/>
    </row>
    <row r="144" spans="1:18" ht="18" customHeight="1" outlineLevel="1">
      <c r="A144" s="4"/>
      <c r="B144" s="85"/>
      <c r="C144" s="86" t="s">
        <v>196</v>
      </c>
      <c r="D144" s="86" t="s">
        <v>199</v>
      </c>
      <c r="E144" s="86" t="s">
        <v>164</v>
      </c>
      <c r="F144" s="86">
        <v>75</v>
      </c>
      <c r="G144" s="86"/>
      <c r="H144" s="86"/>
      <c r="I144" s="86">
        <v>1993</v>
      </c>
      <c r="J144" s="86"/>
      <c r="K144" s="87"/>
      <c r="L144" s="5"/>
      <c r="M144" s="5"/>
      <c r="N144" s="5"/>
      <c r="O144" s="5"/>
      <c r="P144" s="5"/>
      <c r="Q144" s="5"/>
      <c r="R144" s="5"/>
    </row>
    <row r="145" spans="1:18" ht="18" customHeight="1" outlineLevel="1">
      <c r="A145" s="4">
        <v>9</v>
      </c>
      <c r="B145" s="20" t="s">
        <v>15</v>
      </c>
      <c r="C145" s="33"/>
      <c r="D145" s="33"/>
      <c r="E145" s="4"/>
      <c r="F145" s="4"/>
      <c r="G145" s="4"/>
      <c r="H145" s="4"/>
      <c r="I145" s="4"/>
      <c r="J145" s="4"/>
      <c r="K145" s="7"/>
      <c r="L145" s="5"/>
      <c r="M145" s="5"/>
      <c r="N145" s="5"/>
      <c r="O145" s="5"/>
      <c r="P145" s="5"/>
      <c r="Q145" s="5"/>
      <c r="R145" s="5"/>
    </row>
    <row r="146" spans="1:18" ht="18" customHeight="1" outlineLevel="1">
      <c r="A146" s="4"/>
      <c r="B146" s="68"/>
      <c r="C146" s="69" t="s">
        <v>201</v>
      </c>
      <c r="D146" s="69" t="s">
        <v>202</v>
      </c>
      <c r="E146" s="74" t="s">
        <v>203</v>
      </c>
      <c r="F146" s="74" t="s">
        <v>216</v>
      </c>
      <c r="G146" s="69"/>
      <c r="H146" s="69"/>
      <c r="I146" s="88">
        <v>34504</v>
      </c>
      <c r="J146" s="69"/>
      <c r="K146" s="70"/>
      <c r="L146" s="5"/>
      <c r="M146" s="5"/>
      <c r="N146" s="5"/>
      <c r="O146" s="5"/>
      <c r="P146" s="5"/>
      <c r="Q146" s="5"/>
      <c r="R146" s="5"/>
    </row>
    <row r="147" spans="1:18" ht="18" customHeight="1" outlineLevel="1">
      <c r="A147" s="4"/>
      <c r="B147" s="68"/>
      <c r="C147" s="69" t="s">
        <v>205</v>
      </c>
      <c r="D147" s="74" t="s">
        <v>204</v>
      </c>
      <c r="E147" s="69"/>
      <c r="F147" s="69"/>
      <c r="G147" s="69"/>
      <c r="H147" s="69"/>
      <c r="I147" s="89" t="s">
        <v>217</v>
      </c>
      <c r="J147" s="69"/>
      <c r="K147" s="70"/>
      <c r="L147" s="5"/>
      <c r="M147" s="5"/>
      <c r="N147" s="5"/>
      <c r="O147" s="5"/>
      <c r="P147" s="5"/>
      <c r="Q147" s="5"/>
      <c r="R147" s="5"/>
    </row>
    <row r="148" spans="1:18" ht="34">
      <c r="A148" s="4"/>
      <c r="B148" s="68"/>
      <c r="C148" s="69" t="s">
        <v>205</v>
      </c>
      <c r="D148" s="74" t="s">
        <v>206</v>
      </c>
      <c r="E148" s="69"/>
      <c r="F148" s="69"/>
      <c r="G148" s="69"/>
      <c r="H148" s="69"/>
      <c r="I148" s="69"/>
      <c r="J148" s="69"/>
      <c r="K148" s="90" t="s">
        <v>308</v>
      </c>
      <c r="L148" s="5"/>
      <c r="M148" s="5"/>
      <c r="N148" s="5"/>
      <c r="O148" s="5"/>
      <c r="P148" s="5"/>
      <c r="Q148" s="5"/>
      <c r="R148" s="5"/>
    </row>
    <row r="149" spans="1:18" ht="18" customHeight="1" outlineLevel="1">
      <c r="A149" s="4"/>
      <c r="B149" s="68"/>
      <c r="C149" s="69" t="s">
        <v>209</v>
      </c>
      <c r="D149" s="74" t="s">
        <v>207</v>
      </c>
      <c r="E149" s="69"/>
      <c r="F149" s="69"/>
      <c r="G149" s="69"/>
      <c r="H149" s="69"/>
      <c r="I149" s="69"/>
      <c r="J149" s="69"/>
      <c r="K149" s="110" t="s">
        <v>417</v>
      </c>
      <c r="L149" s="5"/>
      <c r="M149" s="5"/>
      <c r="N149" s="5"/>
      <c r="O149" s="5"/>
      <c r="P149" s="5"/>
      <c r="Q149" s="5"/>
      <c r="R149" s="5"/>
    </row>
    <row r="150" spans="1:18" ht="18" customHeight="1" outlineLevel="1">
      <c r="A150" s="4"/>
      <c r="B150" s="68"/>
      <c r="C150" s="69" t="s">
        <v>209</v>
      </c>
      <c r="D150" s="74" t="s">
        <v>207</v>
      </c>
      <c r="E150" s="69"/>
      <c r="F150" s="69"/>
      <c r="G150" s="69"/>
      <c r="H150" s="69"/>
      <c r="I150" s="69">
        <v>1991</v>
      </c>
      <c r="J150" s="69"/>
      <c r="K150" s="110" t="s">
        <v>418</v>
      </c>
      <c r="L150" s="5"/>
      <c r="M150" s="5"/>
      <c r="N150" s="5"/>
      <c r="O150" s="5"/>
      <c r="P150" s="5"/>
      <c r="Q150" s="5"/>
      <c r="R150" s="5"/>
    </row>
    <row r="151" spans="1:18" ht="18" customHeight="1" outlineLevel="1">
      <c r="A151" s="4"/>
      <c r="B151" s="68"/>
      <c r="C151" s="69"/>
      <c r="D151" s="74" t="s">
        <v>208</v>
      </c>
      <c r="E151" s="69"/>
      <c r="F151" s="69"/>
      <c r="G151" s="69"/>
      <c r="H151" s="69"/>
      <c r="I151" s="69"/>
      <c r="J151" s="69"/>
      <c r="K151" s="70"/>
      <c r="L151" s="6"/>
      <c r="M151" s="6"/>
      <c r="N151" s="6"/>
      <c r="O151" s="6"/>
      <c r="P151" s="6"/>
      <c r="Q151" s="6"/>
      <c r="R151" s="6"/>
    </row>
    <row r="152" spans="1:18" ht="18" customHeight="1" outlineLevel="1">
      <c r="A152" s="4"/>
      <c r="B152" s="68"/>
      <c r="C152" s="69"/>
      <c r="D152" s="69" t="s">
        <v>210</v>
      </c>
      <c r="E152" s="69"/>
      <c r="F152" s="69"/>
      <c r="G152" s="69"/>
      <c r="H152" s="69"/>
      <c r="I152" s="69">
        <v>1990</v>
      </c>
      <c r="J152" s="69"/>
      <c r="K152" s="70"/>
      <c r="L152" s="5"/>
      <c r="M152" s="5"/>
      <c r="N152" s="5"/>
      <c r="O152" s="5"/>
      <c r="P152" s="5"/>
      <c r="Q152" s="5"/>
      <c r="R152" s="5"/>
    </row>
    <row r="153" spans="1:18" ht="18" customHeight="1" outlineLevel="1">
      <c r="A153" s="4"/>
      <c r="B153" s="68"/>
      <c r="C153" s="69"/>
      <c r="D153" s="74" t="s">
        <v>211</v>
      </c>
      <c r="E153" s="69"/>
      <c r="F153" s="69"/>
      <c r="G153" s="69"/>
      <c r="H153" s="69"/>
      <c r="I153" s="69">
        <v>1996</v>
      </c>
      <c r="J153" s="69"/>
      <c r="K153" s="130" t="s">
        <v>419</v>
      </c>
      <c r="L153" s="5"/>
      <c r="M153" s="5"/>
      <c r="N153" s="5"/>
      <c r="O153" s="5"/>
      <c r="P153" s="5"/>
      <c r="Q153" s="5"/>
      <c r="R153" s="5"/>
    </row>
    <row r="154" spans="1:18" ht="18" customHeight="1" outlineLevel="1">
      <c r="A154" s="4"/>
      <c r="B154" s="68"/>
      <c r="C154" s="69" t="s">
        <v>214</v>
      </c>
      <c r="D154" s="69" t="s">
        <v>212</v>
      </c>
      <c r="E154" s="69"/>
      <c r="F154" s="69"/>
      <c r="G154" s="69"/>
      <c r="H154" s="69"/>
      <c r="I154" s="69"/>
      <c r="J154" s="69"/>
      <c r="K154" s="70"/>
      <c r="L154" s="5"/>
      <c r="M154" s="5"/>
      <c r="N154" s="5"/>
      <c r="O154" s="5"/>
      <c r="P154" s="5"/>
      <c r="Q154" s="5"/>
      <c r="R154" s="5"/>
    </row>
    <row r="155" spans="1:18" ht="18" customHeight="1" outlineLevel="1">
      <c r="A155" s="4"/>
      <c r="B155" s="68"/>
      <c r="C155" s="69" t="s">
        <v>205</v>
      </c>
      <c r="D155" s="69" t="s">
        <v>213</v>
      </c>
      <c r="E155" s="69"/>
      <c r="F155" s="69"/>
      <c r="G155" s="69"/>
      <c r="H155" s="69"/>
      <c r="I155" s="69"/>
      <c r="J155" s="69"/>
      <c r="K155" s="70"/>
      <c r="L155" s="5"/>
      <c r="M155" s="5"/>
      <c r="N155" s="5"/>
      <c r="O155" s="5"/>
      <c r="P155" s="5"/>
      <c r="Q155" s="5"/>
      <c r="R155" s="5"/>
    </row>
    <row r="156" spans="1:18" ht="17">
      <c r="A156" s="4"/>
      <c r="B156" s="68"/>
      <c r="C156" s="69"/>
      <c r="D156" s="69" t="s">
        <v>215</v>
      </c>
      <c r="E156" s="69"/>
      <c r="F156" s="69"/>
      <c r="G156" s="69"/>
      <c r="H156" s="69"/>
      <c r="I156" s="91">
        <v>29333</v>
      </c>
      <c r="J156" s="69"/>
      <c r="K156" s="90" t="s">
        <v>309</v>
      </c>
      <c r="L156" s="5"/>
      <c r="M156" s="5"/>
      <c r="N156" s="5"/>
      <c r="O156" s="5"/>
      <c r="P156" s="5"/>
      <c r="Q156" s="5"/>
      <c r="R156" s="5"/>
    </row>
    <row r="157" spans="1:18" ht="18" customHeight="1" outlineLevel="1">
      <c r="A157" s="105"/>
      <c r="B157" s="106"/>
      <c r="C157" s="112" t="s">
        <v>377</v>
      </c>
      <c r="D157" s="108" t="s">
        <v>311</v>
      </c>
      <c r="E157" s="108" t="s">
        <v>60</v>
      </c>
      <c r="F157" s="108" t="s">
        <v>378</v>
      </c>
      <c r="G157" s="108"/>
      <c r="H157" s="108"/>
      <c r="I157" s="71">
        <v>33878</v>
      </c>
      <c r="J157" s="108"/>
      <c r="K157" s="90" t="s">
        <v>310</v>
      </c>
      <c r="L157" s="5"/>
      <c r="M157" s="5"/>
      <c r="N157" s="5"/>
      <c r="O157" s="5"/>
      <c r="P157" s="5"/>
      <c r="Q157" s="5"/>
      <c r="R157" s="5"/>
    </row>
    <row r="158" spans="1:18" ht="18" customHeight="1" outlineLevel="1">
      <c r="A158" s="105"/>
      <c r="B158" s="106"/>
      <c r="C158" s="107" t="s">
        <v>379</v>
      </c>
      <c r="D158" s="108" t="s">
        <v>380</v>
      </c>
      <c r="E158" s="108" t="s">
        <v>63</v>
      </c>
      <c r="F158" s="111" t="s">
        <v>381</v>
      </c>
      <c r="G158" s="108"/>
      <c r="H158" s="108"/>
      <c r="I158" s="109">
        <v>29323</v>
      </c>
      <c r="J158" s="108"/>
      <c r="K158" s="110" t="s">
        <v>382</v>
      </c>
      <c r="L158" s="5"/>
      <c r="M158" s="5"/>
      <c r="N158" s="5"/>
      <c r="O158" s="5"/>
      <c r="P158" s="5"/>
      <c r="Q158" s="5"/>
      <c r="R158" s="5"/>
    </row>
    <row r="159" spans="1:18" ht="18" customHeight="1" outlineLevel="1">
      <c r="A159" s="105"/>
      <c r="B159" s="106"/>
      <c r="C159" s="107" t="s">
        <v>205</v>
      </c>
      <c r="D159" s="108" t="s">
        <v>383</v>
      </c>
      <c r="E159" s="108" t="s">
        <v>384</v>
      </c>
      <c r="F159" s="114" t="s">
        <v>385</v>
      </c>
      <c r="G159" s="108"/>
      <c r="H159" s="108"/>
      <c r="I159" s="109">
        <v>28959</v>
      </c>
      <c r="J159" s="108"/>
      <c r="K159" s="110" t="s">
        <v>386</v>
      </c>
      <c r="L159" s="5"/>
      <c r="M159" s="5"/>
      <c r="N159" s="5"/>
      <c r="O159" s="5"/>
      <c r="P159" s="5"/>
      <c r="Q159" s="5"/>
      <c r="R159" s="5"/>
    </row>
    <row r="160" spans="1:18" ht="18" customHeight="1" outlineLevel="1">
      <c r="A160" s="105"/>
      <c r="B160" s="106"/>
      <c r="C160" s="107" t="s">
        <v>205</v>
      </c>
      <c r="D160" s="108" t="s">
        <v>387</v>
      </c>
      <c r="E160" s="108" t="s">
        <v>388</v>
      </c>
      <c r="F160" s="114" t="s">
        <v>389</v>
      </c>
      <c r="G160" s="108"/>
      <c r="H160" s="108"/>
      <c r="I160" s="109" t="s">
        <v>399</v>
      </c>
      <c r="J160" s="108"/>
      <c r="K160" s="110"/>
      <c r="L160" s="5"/>
      <c r="M160" s="5"/>
      <c r="N160" s="5"/>
      <c r="O160" s="5"/>
      <c r="P160" s="5"/>
      <c r="Q160" s="5"/>
      <c r="R160" s="5"/>
    </row>
    <row r="161" spans="1:18" ht="18" customHeight="1" outlineLevel="1">
      <c r="A161" s="105"/>
      <c r="B161" s="106"/>
      <c r="C161" s="107"/>
      <c r="D161" s="108" t="s">
        <v>392</v>
      </c>
      <c r="E161" s="108" t="s">
        <v>63</v>
      </c>
      <c r="F161" s="114" t="s">
        <v>393</v>
      </c>
      <c r="G161" s="108"/>
      <c r="H161" s="108"/>
      <c r="I161" s="109">
        <v>33087</v>
      </c>
      <c r="J161" s="108"/>
      <c r="K161" s="110"/>
      <c r="L161" s="5"/>
      <c r="M161" s="5"/>
      <c r="N161" s="5"/>
      <c r="O161" s="5"/>
      <c r="P161" s="5"/>
      <c r="Q161" s="5"/>
      <c r="R161" s="5"/>
    </row>
    <row r="162" spans="1:18" ht="18" customHeight="1" outlineLevel="1">
      <c r="A162" s="105"/>
      <c r="B162" s="106"/>
      <c r="C162" s="107" t="s">
        <v>205</v>
      </c>
      <c r="D162" s="108" t="s">
        <v>387</v>
      </c>
      <c r="E162" s="108" t="s">
        <v>388</v>
      </c>
      <c r="F162" s="114" t="s">
        <v>390</v>
      </c>
      <c r="G162" s="108"/>
      <c r="H162" s="108"/>
      <c r="I162" s="109" t="s">
        <v>391</v>
      </c>
      <c r="J162" s="108"/>
      <c r="K162" s="110"/>
      <c r="L162" s="5"/>
      <c r="M162" s="5"/>
      <c r="N162" s="5"/>
      <c r="O162" s="5"/>
      <c r="P162" s="5"/>
      <c r="Q162" s="5"/>
      <c r="R162" s="5"/>
    </row>
    <row r="163" spans="1:18" ht="18" customHeight="1" outlineLevel="1">
      <c r="A163" s="105"/>
      <c r="B163" s="106"/>
      <c r="C163" s="107" t="s">
        <v>205</v>
      </c>
      <c r="D163" s="108" t="s">
        <v>396</v>
      </c>
      <c r="E163" s="108" t="s">
        <v>63</v>
      </c>
      <c r="F163" s="114" t="s">
        <v>397</v>
      </c>
      <c r="G163" s="108"/>
      <c r="H163" s="108"/>
      <c r="I163" s="109" t="s">
        <v>398</v>
      </c>
      <c r="J163" s="108"/>
      <c r="K163" s="110"/>
      <c r="L163" s="6"/>
      <c r="M163" s="6"/>
      <c r="N163" s="6"/>
      <c r="O163" s="6"/>
      <c r="P163" s="6"/>
      <c r="Q163" s="6"/>
      <c r="R163" s="6"/>
    </row>
    <row r="164" spans="1:18" ht="18" customHeight="1" outlineLevel="1">
      <c r="A164" s="105"/>
      <c r="B164" s="106"/>
      <c r="C164" s="107"/>
      <c r="D164" s="108"/>
      <c r="E164" s="108"/>
      <c r="F164" s="114"/>
      <c r="G164" s="108"/>
      <c r="H164" s="108"/>
      <c r="I164" s="109"/>
      <c r="J164" s="108"/>
      <c r="K164" s="110"/>
      <c r="L164" s="5"/>
      <c r="M164" s="5"/>
      <c r="N164" s="5"/>
      <c r="O164" s="5"/>
      <c r="P164" s="5"/>
      <c r="Q164" s="5"/>
      <c r="R164" s="5"/>
    </row>
    <row r="165" spans="1:18" ht="18" customHeight="1" outlineLevel="1">
      <c r="A165" s="5"/>
      <c r="B165" s="106"/>
      <c r="C165" s="107"/>
      <c r="D165" s="108"/>
      <c r="E165" s="108"/>
      <c r="F165" s="114"/>
      <c r="G165" s="108"/>
      <c r="H165" s="108"/>
      <c r="I165" s="109"/>
      <c r="J165" s="108"/>
      <c r="K165" s="110"/>
      <c r="L165" s="5"/>
      <c r="M165" s="5"/>
      <c r="N165" s="5"/>
      <c r="O165" s="5"/>
      <c r="P165" s="5"/>
      <c r="Q165" s="5"/>
      <c r="R165" s="5"/>
    </row>
    <row r="166" spans="1:18" ht="18" customHeight="1" outlineLevel="1">
      <c r="A166" s="4">
        <v>10</v>
      </c>
      <c r="B166" s="20" t="s">
        <v>16</v>
      </c>
      <c r="C166" s="33"/>
      <c r="D166" s="5"/>
      <c r="E166" s="5"/>
      <c r="F166" s="5"/>
      <c r="G166" s="5"/>
      <c r="H166" s="5"/>
      <c r="I166" s="5"/>
      <c r="J166" s="5"/>
      <c r="K166" s="7"/>
      <c r="L166" s="5"/>
      <c r="M166" s="5"/>
      <c r="N166" s="5"/>
      <c r="O166" s="5"/>
      <c r="P166" s="5"/>
      <c r="Q166" s="5"/>
      <c r="R166" s="5"/>
    </row>
    <row r="167" spans="1:18" ht="18" customHeight="1" outlineLevel="1">
      <c r="A167" s="4"/>
      <c r="B167" s="20"/>
      <c r="C167" s="4"/>
      <c r="D167" s="4" t="s">
        <v>218</v>
      </c>
      <c r="E167" s="116" t="s">
        <v>395</v>
      </c>
      <c r="F167" s="116" t="s">
        <v>394</v>
      </c>
      <c r="G167" s="4"/>
      <c r="H167" s="4"/>
      <c r="I167" s="4">
        <v>1992</v>
      </c>
      <c r="J167" s="4"/>
      <c r="K167" s="7"/>
      <c r="L167" s="5"/>
      <c r="M167" s="5"/>
      <c r="N167" s="5"/>
      <c r="O167" s="5"/>
      <c r="P167" s="5"/>
      <c r="Q167" s="5"/>
      <c r="R167" s="5"/>
    </row>
    <row r="168" spans="1:18" ht="18" customHeight="1" outlineLevel="1">
      <c r="A168" s="4"/>
      <c r="B168" s="20"/>
      <c r="C168" s="4"/>
      <c r="D168" s="4" t="s">
        <v>219</v>
      </c>
      <c r="E168" s="4"/>
      <c r="F168" s="4"/>
      <c r="G168" s="4"/>
      <c r="H168" s="4"/>
      <c r="I168" s="4"/>
      <c r="J168" s="4"/>
      <c r="K168" s="7"/>
      <c r="L168" s="5"/>
      <c r="M168" s="5"/>
      <c r="N168" s="5"/>
      <c r="O168" s="5"/>
      <c r="P168" s="5"/>
      <c r="Q168" s="5"/>
      <c r="R168" s="5"/>
    </row>
    <row r="169" spans="1:18">
      <c r="A169" s="4"/>
      <c r="B169" s="20"/>
      <c r="C169" s="4"/>
      <c r="D169" s="4" t="s">
        <v>220</v>
      </c>
      <c r="E169" s="4"/>
      <c r="F169" s="4"/>
      <c r="G169" s="4"/>
      <c r="H169" s="4"/>
      <c r="I169" s="4"/>
      <c r="J169" s="4"/>
      <c r="K169" s="7"/>
      <c r="L169" s="5"/>
      <c r="M169" s="5"/>
      <c r="N169" s="5"/>
      <c r="O169" s="5"/>
      <c r="P169" s="5"/>
      <c r="Q169" s="5"/>
      <c r="R169" s="5"/>
    </row>
    <row r="170" spans="1:18" ht="18" customHeight="1" outlineLevel="1">
      <c r="A170" s="4"/>
      <c r="B170" s="20"/>
      <c r="C170" s="4"/>
      <c r="D170" s="32" t="s">
        <v>221</v>
      </c>
      <c r="E170" s="4"/>
      <c r="F170" s="4"/>
      <c r="G170" s="4"/>
      <c r="H170" s="4"/>
      <c r="I170" s="4"/>
      <c r="J170" s="4"/>
      <c r="K170" s="7"/>
      <c r="L170" s="5"/>
      <c r="M170" s="5"/>
      <c r="N170" s="5"/>
      <c r="O170" s="5"/>
      <c r="P170" s="5"/>
      <c r="Q170" s="5"/>
      <c r="R170" s="5"/>
    </row>
    <row r="171" spans="1:18" ht="18" customHeight="1" outlineLevel="1">
      <c r="A171" s="4"/>
      <c r="B171" s="20"/>
      <c r="C171" s="4"/>
      <c r="D171" s="32" t="s">
        <v>222</v>
      </c>
      <c r="E171" s="4"/>
      <c r="F171" s="4"/>
      <c r="G171" s="4"/>
      <c r="H171" s="4"/>
      <c r="I171" s="4"/>
      <c r="J171" s="4"/>
      <c r="K171" s="7"/>
      <c r="L171" s="6"/>
      <c r="M171" s="6"/>
      <c r="N171" s="6"/>
      <c r="O171" s="6"/>
      <c r="P171" s="6"/>
      <c r="Q171" s="6"/>
      <c r="R171" s="6"/>
    </row>
    <row r="172" spans="1:18" ht="18" customHeight="1" outlineLevel="1">
      <c r="A172" s="4"/>
      <c r="B172" s="20"/>
      <c r="C172" s="4"/>
      <c r="D172" s="4" t="s">
        <v>223</v>
      </c>
      <c r="E172" s="4"/>
      <c r="F172" s="4"/>
      <c r="G172" s="4"/>
      <c r="H172" s="4"/>
      <c r="I172" s="4"/>
      <c r="J172" s="4"/>
      <c r="K172" s="7"/>
      <c r="L172" s="5"/>
      <c r="M172" s="5"/>
      <c r="N172" s="5"/>
      <c r="O172" s="5"/>
      <c r="P172" s="5"/>
      <c r="Q172" s="5"/>
      <c r="R172" s="5"/>
    </row>
    <row r="173" spans="1:18" ht="18" customHeight="1" outlineLevel="1">
      <c r="A173" s="4"/>
      <c r="B173" s="20"/>
      <c r="C173" s="4"/>
      <c r="D173" s="4" t="s">
        <v>224</v>
      </c>
      <c r="E173" s="4"/>
      <c r="F173" s="4"/>
      <c r="G173" s="4"/>
      <c r="H173" s="4"/>
      <c r="I173" s="4"/>
      <c r="J173" s="4"/>
      <c r="K173" s="7"/>
      <c r="L173" s="5"/>
      <c r="M173" s="5"/>
      <c r="N173" s="5"/>
      <c r="O173" s="5"/>
      <c r="P173" s="5"/>
      <c r="Q173" s="5"/>
      <c r="R173" s="5"/>
    </row>
    <row r="174" spans="1:18" ht="18" customHeight="1" outlineLevel="1">
      <c r="A174" s="4">
        <v>11</v>
      </c>
      <c r="B174" s="20" t="s">
        <v>17</v>
      </c>
      <c r="C174" s="33"/>
      <c r="D174" s="5"/>
      <c r="E174" s="5"/>
      <c r="F174" s="5"/>
      <c r="G174" s="5"/>
      <c r="H174" s="5"/>
      <c r="I174" s="5"/>
      <c r="J174" s="5"/>
      <c r="K174" s="7"/>
      <c r="L174" s="5"/>
      <c r="M174" s="5"/>
      <c r="N174" s="5"/>
      <c r="O174" s="5"/>
      <c r="P174" s="5"/>
      <c r="Q174" s="5"/>
      <c r="R174" s="5"/>
    </row>
    <row r="175" spans="1:18" ht="18" customHeight="1" outlineLevel="1">
      <c r="A175" s="4"/>
      <c r="B175" s="76"/>
      <c r="C175" s="77" t="s">
        <v>225</v>
      </c>
      <c r="D175" s="92"/>
      <c r="E175" s="77"/>
      <c r="F175" s="77"/>
      <c r="G175" s="77"/>
      <c r="H175" s="77"/>
      <c r="I175" s="77"/>
      <c r="J175" s="77"/>
      <c r="K175" s="78"/>
      <c r="L175" s="5"/>
      <c r="M175" s="5"/>
      <c r="N175" s="5"/>
      <c r="O175" s="5"/>
      <c r="P175" s="5"/>
      <c r="Q175" s="5"/>
      <c r="R175" s="5"/>
    </row>
    <row r="176" spans="1:18" ht="18" customHeight="1" outlineLevel="1">
      <c r="A176" s="4"/>
      <c r="B176" s="76"/>
      <c r="C176" s="77" t="s">
        <v>225</v>
      </c>
      <c r="D176" s="77" t="s">
        <v>229</v>
      </c>
      <c r="E176" s="77"/>
      <c r="F176" s="77"/>
      <c r="G176" s="77"/>
      <c r="H176" s="77"/>
      <c r="I176" s="77"/>
      <c r="J176" s="77"/>
      <c r="K176" s="78"/>
      <c r="L176" s="5"/>
      <c r="M176" s="5"/>
      <c r="N176" s="5"/>
      <c r="O176" s="5"/>
      <c r="P176" s="5"/>
      <c r="Q176" s="5"/>
      <c r="R176" s="5"/>
    </row>
    <row r="177" spans="1:18">
      <c r="A177" s="4"/>
      <c r="B177" s="76"/>
      <c r="C177" s="77" t="s">
        <v>225</v>
      </c>
      <c r="D177" s="77" t="s">
        <v>230</v>
      </c>
      <c r="E177" s="77"/>
      <c r="F177" s="77"/>
      <c r="G177" s="77"/>
      <c r="H177" s="77"/>
      <c r="I177" s="77"/>
      <c r="J177" s="77"/>
      <c r="K177" s="78"/>
      <c r="L177" s="5"/>
      <c r="M177" s="5"/>
      <c r="N177" s="5"/>
      <c r="O177" s="5"/>
      <c r="P177" s="5"/>
      <c r="Q177" s="5"/>
      <c r="R177" s="5"/>
    </row>
    <row r="178" spans="1:18" ht="18" customHeight="1" outlineLevel="1">
      <c r="A178" s="4"/>
      <c r="B178" s="76"/>
      <c r="C178" s="77" t="s">
        <v>226</v>
      </c>
      <c r="D178" s="79" t="s">
        <v>231</v>
      </c>
      <c r="E178" s="77"/>
      <c r="F178" s="77"/>
      <c r="G178" s="77"/>
      <c r="H178" s="77"/>
      <c r="I178" s="77"/>
      <c r="J178" s="77"/>
      <c r="K178" s="78"/>
      <c r="L178" s="5"/>
      <c r="M178" s="5"/>
      <c r="N178" s="5"/>
      <c r="O178" s="5"/>
      <c r="P178" s="5"/>
      <c r="Q178" s="5"/>
      <c r="R178" s="5"/>
    </row>
    <row r="179" spans="1:18" ht="18" customHeight="1" outlineLevel="1">
      <c r="A179" s="4"/>
      <c r="B179" s="76"/>
      <c r="C179" s="77" t="s">
        <v>226</v>
      </c>
      <c r="D179" s="79" t="s">
        <v>232</v>
      </c>
      <c r="E179" s="77"/>
      <c r="F179" s="77"/>
      <c r="G179" s="77"/>
      <c r="H179" s="77"/>
      <c r="I179" s="77"/>
      <c r="J179" s="77"/>
      <c r="K179" s="78"/>
      <c r="L179" s="5"/>
      <c r="M179" s="5"/>
      <c r="N179" s="5"/>
      <c r="O179" s="5"/>
      <c r="P179" s="5"/>
      <c r="Q179" s="5"/>
      <c r="R179" s="5"/>
    </row>
    <row r="180" spans="1:18" ht="18" customHeight="1" outlineLevel="1">
      <c r="A180" s="4"/>
      <c r="B180" s="76"/>
      <c r="C180" s="77" t="s">
        <v>226</v>
      </c>
      <c r="D180" s="79" t="s">
        <v>233</v>
      </c>
      <c r="E180" s="77"/>
      <c r="F180" s="77"/>
      <c r="G180" s="77"/>
      <c r="H180" s="77"/>
      <c r="I180" s="77"/>
      <c r="J180" s="77"/>
      <c r="K180" s="78"/>
      <c r="L180" s="5"/>
      <c r="M180" s="5"/>
      <c r="N180" s="5"/>
      <c r="O180" s="5"/>
      <c r="P180" s="5"/>
      <c r="Q180" s="5"/>
      <c r="R180" s="5"/>
    </row>
    <row r="181" spans="1:18" ht="18" customHeight="1" outlineLevel="1">
      <c r="A181" s="4"/>
      <c r="B181" s="76"/>
      <c r="C181" s="77" t="s">
        <v>226</v>
      </c>
      <c r="D181" s="77" t="s">
        <v>234</v>
      </c>
      <c r="E181" s="77"/>
      <c r="F181" s="77"/>
      <c r="G181" s="77"/>
      <c r="H181" s="77"/>
      <c r="I181" s="77"/>
      <c r="J181" s="77"/>
      <c r="K181" s="78"/>
      <c r="L181" s="5"/>
      <c r="M181" s="5"/>
      <c r="N181" s="5"/>
      <c r="O181" s="5"/>
      <c r="P181" s="5"/>
      <c r="Q181" s="5"/>
      <c r="R181" s="5"/>
    </row>
    <row r="182" spans="1:18" ht="18" customHeight="1" outlineLevel="1">
      <c r="A182" s="4"/>
      <c r="B182" s="76"/>
      <c r="C182" s="77" t="s">
        <v>226</v>
      </c>
      <c r="D182" s="79" t="s">
        <v>235</v>
      </c>
      <c r="E182" s="77"/>
      <c r="F182" s="77"/>
      <c r="G182" s="77"/>
      <c r="H182" s="77"/>
      <c r="I182" s="77"/>
      <c r="J182" s="77"/>
      <c r="K182" s="78"/>
      <c r="L182" s="5"/>
      <c r="M182" s="5"/>
      <c r="N182" s="5"/>
      <c r="O182" s="5"/>
      <c r="P182" s="5"/>
      <c r="Q182" s="5"/>
      <c r="R182" s="5"/>
    </row>
    <row r="183" spans="1:18" ht="18" customHeight="1" outlineLevel="1">
      <c r="A183" s="4"/>
      <c r="B183" s="76"/>
      <c r="C183" s="77" t="s">
        <v>227</v>
      </c>
      <c r="D183" s="79" t="s">
        <v>236</v>
      </c>
      <c r="E183" s="77"/>
      <c r="F183" s="77"/>
      <c r="G183" s="77"/>
      <c r="H183" s="77"/>
      <c r="I183" s="77"/>
      <c r="J183" s="77"/>
      <c r="K183" s="78"/>
      <c r="L183" s="5"/>
      <c r="M183" s="5"/>
      <c r="N183" s="5"/>
      <c r="O183" s="5"/>
      <c r="P183" s="5"/>
      <c r="Q183" s="5"/>
      <c r="R183" s="5"/>
    </row>
    <row r="184" spans="1:18" ht="18" customHeight="1" outlineLevel="1">
      <c r="A184" s="4"/>
      <c r="B184" s="76"/>
      <c r="C184" s="77" t="s">
        <v>227</v>
      </c>
      <c r="D184" s="77" t="s">
        <v>237</v>
      </c>
      <c r="E184" s="77"/>
      <c r="F184" s="77"/>
      <c r="G184" s="77"/>
      <c r="H184" s="77"/>
      <c r="I184" s="77"/>
      <c r="J184" s="77"/>
      <c r="K184" s="78"/>
      <c r="L184" s="5"/>
      <c r="M184" s="5"/>
      <c r="N184" s="5"/>
      <c r="O184" s="5"/>
      <c r="P184" s="5"/>
      <c r="Q184" s="5"/>
      <c r="R184" s="5"/>
    </row>
    <row r="185" spans="1:18" ht="18" customHeight="1" outlineLevel="1">
      <c r="A185" s="4"/>
      <c r="B185" s="76"/>
      <c r="C185" s="77" t="s">
        <v>228</v>
      </c>
      <c r="D185" s="77" t="s">
        <v>238</v>
      </c>
      <c r="E185" s="77"/>
      <c r="F185" s="77"/>
      <c r="G185" s="77"/>
      <c r="H185" s="77"/>
      <c r="I185" s="77"/>
      <c r="J185" s="77"/>
      <c r="K185" s="78"/>
      <c r="L185" s="5"/>
      <c r="M185" s="5"/>
      <c r="N185" s="5"/>
      <c r="O185" s="5"/>
      <c r="P185" s="5"/>
      <c r="Q185" s="5"/>
      <c r="R185" s="5"/>
    </row>
    <row r="186" spans="1:18" ht="18" customHeight="1" outlineLevel="1">
      <c r="A186" s="5"/>
      <c r="B186" s="76"/>
      <c r="C186" s="93"/>
      <c r="D186" s="77" t="s">
        <v>239</v>
      </c>
      <c r="E186" s="77"/>
      <c r="F186" s="77"/>
      <c r="G186" s="77"/>
      <c r="H186" s="77"/>
      <c r="I186" s="77"/>
      <c r="J186" s="77"/>
      <c r="K186" s="78"/>
      <c r="L186" s="5"/>
      <c r="M186" s="5"/>
      <c r="N186" s="5"/>
      <c r="O186" s="5"/>
      <c r="P186" s="5"/>
      <c r="Q186" s="5"/>
      <c r="R186" s="5"/>
    </row>
    <row r="187" spans="1:18" ht="18" customHeight="1" outlineLevel="1">
      <c r="A187" s="4">
        <v>12</v>
      </c>
      <c r="B187" s="20" t="s">
        <v>18</v>
      </c>
      <c r="C187" s="33"/>
      <c r="D187" s="5"/>
      <c r="E187" s="5"/>
      <c r="F187" s="5"/>
      <c r="G187" s="5"/>
      <c r="H187" s="5"/>
      <c r="I187" s="5"/>
      <c r="J187" s="5"/>
      <c r="K187" s="7"/>
      <c r="L187" s="5"/>
      <c r="M187" s="5"/>
      <c r="N187" s="5"/>
      <c r="O187" s="5"/>
      <c r="P187" s="5"/>
      <c r="Q187" s="5"/>
      <c r="R187" s="5"/>
    </row>
    <row r="188" spans="1:18" ht="18" customHeight="1" outlineLevel="1">
      <c r="A188" s="4"/>
      <c r="B188" s="53"/>
      <c r="C188" s="54"/>
      <c r="D188" s="80" t="s">
        <v>240</v>
      </c>
      <c r="E188" s="80" t="s">
        <v>245</v>
      </c>
      <c r="F188" s="54"/>
      <c r="G188" s="54"/>
      <c r="H188" s="54"/>
      <c r="I188" s="54">
        <v>1985</v>
      </c>
      <c r="J188" s="54"/>
      <c r="K188" s="55"/>
      <c r="L188" s="5"/>
      <c r="M188" s="5"/>
      <c r="N188" s="5"/>
      <c r="O188" s="5"/>
      <c r="P188" s="5"/>
      <c r="Q188" s="5"/>
      <c r="R188" s="5"/>
    </row>
    <row r="189" spans="1:18" ht="18" customHeight="1" outlineLevel="1">
      <c r="A189" s="4"/>
      <c r="B189" s="53"/>
      <c r="C189" s="54"/>
      <c r="D189" s="54" t="s">
        <v>241</v>
      </c>
      <c r="E189" s="54" t="s">
        <v>63</v>
      </c>
      <c r="F189" s="54"/>
      <c r="G189" s="54"/>
      <c r="H189" s="54"/>
      <c r="I189" s="54">
        <v>1990</v>
      </c>
      <c r="J189" s="54"/>
      <c r="K189" s="55"/>
      <c r="L189" s="5"/>
      <c r="M189" s="5"/>
      <c r="N189" s="5"/>
      <c r="O189" s="5"/>
      <c r="P189" s="5"/>
      <c r="Q189" s="5"/>
      <c r="R189" s="5"/>
    </row>
    <row r="190" spans="1:18" ht="18" customHeight="1" outlineLevel="1">
      <c r="A190" s="4"/>
      <c r="B190" s="53"/>
      <c r="C190" s="54"/>
      <c r="D190" s="54" t="s">
        <v>242</v>
      </c>
      <c r="E190" s="54" t="s">
        <v>63</v>
      </c>
      <c r="F190" s="54"/>
      <c r="G190" s="54"/>
      <c r="H190" s="54"/>
      <c r="I190" s="54">
        <v>1990</v>
      </c>
      <c r="J190" s="54"/>
      <c r="K190" s="55"/>
      <c r="L190" s="5"/>
      <c r="M190" s="5"/>
      <c r="N190" s="5"/>
      <c r="O190" s="5"/>
      <c r="P190" s="5"/>
      <c r="Q190" s="5"/>
      <c r="R190" s="5"/>
    </row>
    <row r="191" spans="1:18" ht="18" customHeight="1" outlineLevel="1">
      <c r="A191" s="4"/>
      <c r="B191" s="53"/>
      <c r="C191" s="54"/>
      <c r="D191" s="54" t="s">
        <v>59</v>
      </c>
      <c r="E191" s="54" t="s">
        <v>63</v>
      </c>
      <c r="F191" s="54"/>
      <c r="G191" s="54"/>
      <c r="H191" s="54"/>
      <c r="I191" s="54">
        <v>1990</v>
      </c>
      <c r="J191" s="54"/>
      <c r="K191" s="55"/>
      <c r="L191" s="5"/>
      <c r="M191" s="5"/>
      <c r="N191" s="5"/>
      <c r="O191" s="5"/>
      <c r="P191" s="5"/>
      <c r="Q191" s="5"/>
      <c r="R191" s="5"/>
    </row>
    <row r="192" spans="1:18" ht="18" customHeight="1" outlineLevel="1">
      <c r="A192" s="4"/>
      <c r="B192" s="53"/>
      <c r="C192" s="54"/>
      <c r="D192" s="80" t="s">
        <v>243</v>
      </c>
      <c r="E192" s="54" t="s">
        <v>246</v>
      </c>
      <c r="F192" s="54"/>
      <c r="G192" s="54"/>
      <c r="H192" s="54"/>
      <c r="I192" s="54">
        <v>2003</v>
      </c>
      <c r="J192" s="54"/>
      <c r="K192" s="55"/>
      <c r="L192" s="5"/>
      <c r="M192" s="5"/>
      <c r="N192" s="5"/>
      <c r="O192" s="5"/>
      <c r="P192" s="5"/>
      <c r="Q192" s="5"/>
      <c r="R192" s="5"/>
    </row>
    <row r="193" spans="1:18" ht="18" customHeight="1" outlineLevel="1">
      <c r="A193" s="4"/>
      <c r="B193" s="53"/>
      <c r="C193" s="54" t="s">
        <v>247</v>
      </c>
      <c r="D193" s="54" t="s">
        <v>244</v>
      </c>
      <c r="E193" s="54" t="s">
        <v>246</v>
      </c>
      <c r="F193" s="54"/>
      <c r="G193" s="54"/>
      <c r="H193" s="54"/>
      <c r="I193" s="54">
        <v>2003</v>
      </c>
      <c r="J193" s="54"/>
      <c r="K193" s="55"/>
      <c r="L193" s="5"/>
      <c r="M193" s="5"/>
      <c r="N193" s="5"/>
      <c r="O193" s="5"/>
      <c r="P193" s="5"/>
      <c r="Q193" s="5"/>
      <c r="R193" s="5"/>
    </row>
    <row r="194" spans="1:18" ht="18" customHeight="1" outlineLevel="1">
      <c r="A194" s="105"/>
      <c r="B194" s="134"/>
      <c r="C194" s="135" t="s">
        <v>401</v>
      </c>
      <c r="D194" s="137" t="s">
        <v>401</v>
      </c>
      <c r="E194" s="137" t="s">
        <v>432</v>
      </c>
      <c r="F194" s="137" t="s">
        <v>433</v>
      </c>
      <c r="G194" s="137"/>
      <c r="H194" s="137"/>
      <c r="I194" s="137"/>
      <c r="J194" s="137"/>
      <c r="K194" s="153"/>
      <c r="L194" s="5"/>
      <c r="M194" s="5"/>
      <c r="N194" s="5"/>
      <c r="O194" s="5"/>
      <c r="P194" s="5"/>
      <c r="Q194" s="5"/>
      <c r="R194" s="5"/>
    </row>
    <row r="195" spans="1:18" ht="18" customHeight="1" outlineLevel="1">
      <c r="A195" s="5"/>
      <c r="B195" s="53"/>
      <c r="C195" s="54" t="s">
        <v>247</v>
      </c>
      <c r="D195" s="54" t="s">
        <v>248</v>
      </c>
      <c r="E195" s="54"/>
      <c r="F195" s="54"/>
      <c r="G195" s="54"/>
      <c r="H195" s="54"/>
      <c r="I195" s="54">
        <v>2005</v>
      </c>
      <c r="J195" s="54"/>
      <c r="K195" s="55"/>
      <c r="L195" s="5"/>
      <c r="M195" s="5"/>
      <c r="N195" s="5"/>
      <c r="O195" s="5"/>
      <c r="P195" s="5"/>
      <c r="Q195" s="5"/>
      <c r="R195" s="5"/>
    </row>
    <row r="196" spans="1:18" ht="18" customHeight="1" outlineLevel="1">
      <c r="A196" s="4"/>
      <c r="B196" s="20" t="s">
        <v>19</v>
      </c>
      <c r="C196" s="154" t="s">
        <v>22</v>
      </c>
      <c r="D196" s="154" t="s">
        <v>446</v>
      </c>
      <c r="E196" s="160" t="s">
        <v>447</v>
      </c>
      <c r="F196" s="160" t="s">
        <v>441</v>
      </c>
      <c r="G196" s="160" t="s">
        <v>443</v>
      </c>
      <c r="H196" s="160" t="s">
        <v>4</v>
      </c>
      <c r="I196" s="154" t="s">
        <v>23</v>
      </c>
      <c r="J196" s="160" t="s">
        <v>444</v>
      </c>
      <c r="K196" s="133" t="s">
        <v>448</v>
      </c>
      <c r="L196" s="5"/>
      <c r="M196" s="5"/>
      <c r="N196" s="5"/>
      <c r="O196" s="5"/>
      <c r="P196" s="5"/>
      <c r="Q196" s="5"/>
      <c r="R196" s="5"/>
    </row>
    <row r="197" spans="1:18" ht="18" customHeight="1" outlineLevel="1">
      <c r="A197" s="4"/>
      <c r="B197" s="20"/>
      <c r="C197" s="4" t="s">
        <v>249</v>
      </c>
      <c r="D197" s="33"/>
      <c r="E197" s="4"/>
      <c r="F197" s="4"/>
      <c r="G197" s="4"/>
      <c r="H197" s="4"/>
      <c r="I197" s="4"/>
      <c r="J197" s="4"/>
      <c r="K197" s="7"/>
      <c r="L197" s="5"/>
      <c r="M197" s="5"/>
      <c r="N197" s="5"/>
      <c r="O197" s="5"/>
      <c r="P197" s="5"/>
      <c r="Q197" s="5"/>
      <c r="R197" s="5"/>
    </row>
    <row r="198" spans="1:18" ht="18" customHeight="1" outlineLevel="1">
      <c r="A198" s="4"/>
      <c r="B198" s="20"/>
      <c r="C198" s="4" t="s">
        <v>249</v>
      </c>
      <c r="D198" s="4" t="s">
        <v>250</v>
      </c>
      <c r="E198" s="4" t="s">
        <v>61</v>
      </c>
      <c r="F198" s="4">
        <v>9</v>
      </c>
      <c r="G198" s="4"/>
      <c r="H198" s="4"/>
      <c r="I198" s="4">
        <v>1994</v>
      </c>
      <c r="J198" s="4"/>
      <c r="K198" s="7"/>
      <c r="L198" s="5"/>
      <c r="M198" s="5"/>
      <c r="N198" s="5"/>
      <c r="O198" s="5"/>
      <c r="P198" s="5"/>
      <c r="Q198" s="5"/>
      <c r="R198" s="5"/>
    </row>
    <row r="199" spans="1:18" ht="18" customHeight="1" outlineLevel="1">
      <c r="A199" s="4"/>
      <c r="B199" s="20"/>
      <c r="C199" s="4" t="s">
        <v>249</v>
      </c>
      <c r="D199" s="4" t="s">
        <v>251</v>
      </c>
      <c r="E199" s="4" t="s">
        <v>61</v>
      </c>
      <c r="F199" s="4">
        <v>10</v>
      </c>
      <c r="G199" s="4"/>
      <c r="H199" s="4"/>
      <c r="I199" s="4">
        <v>1994</v>
      </c>
      <c r="J199" s="4"/>
      <c r="K199" s="7"/>
      <c r="L199" s="5"/>
      <c r="M199" s="5"/>
      <c r="N199" s="5"/>
      <c r="O199" s="5"/>
      <c r="P199" s="5"/>
      <c r="Q199" s="5"/>
      <c r="R199" s="5"/>
    </row>
    <row r="200" spans="1:18" ht="18" customHeight="1" outlineLevel="1">
      <c r="A200" s="4"/>
      <c r="B200" s="20"/>
      <c r="C200" s="4" t="s">
        <v>249</v>
      </c>
      <c r="D200" s="4" t="s">
        <v>252</v>
      </c>
      <c r="E200" s="4" t="s">
        <v>60</v>
      </c>
      <c r="F200" s="4">
        <v>26</v>
      </c>
      <c r="G200" s="4"/>
      <c r="H200" s="4"/>
      <c r="I200" s="4">
        <v>1993</v>
      </c>
      <c r="J200" s="4"/>
      <c r="K200" s="7"/>
      <c r="L200" s="5"/>
      <c r="M200" s="5"/>
      <c r="N200" s="5"/>
      <c r="O200" s="5"/>
      <c r="P200" s="5"/>
      <c r="Q200" s="5"/>
      <c r="R200" s="5"/>
    </row>
    <row r="201" spans="1:18" ht="18" customHeight="1" outlineLevel="1">
      <c r="A201" s="4"/>
      <c r="B201" s="20"/>
      <c r="C201" s="4" t="s">
        <v>249</v>
      </c>
      <c r="D201" s="4" t="s">
        <v>253</v>
      </c>
      <c r="E201" s="4" t="s">
        <v>60</v>
      </c>
      <c r="F201" s="4">
        <v>100</v>
      </c>
      <c r="G201" s="4"/>
      <c r="H201" s="4"/>
      <c r="I201" s="4">
        <v>1993</v>
      </c>
      <c r="J201" s="4"/>
      <c r="K201" s="7"/>
      <c r="L201" s="5"/>
      <c r="M201" s="5"/>
      <c r="N201" s="5"/>
      <c r="O201" s="5"/>
      <c r="P201" s="5"/>
      <c r="Q201" s="5"/>
      <c r="R201" s="5"/>
    </row>
    <row r="202" spans="1:18" ht="18" customHeight="1" outlineLevel="1">
      <c r="A202" s="4"/>
      <c r="B202" s="20"/>
      <c r="C202" s="4" t="s">
        <v>262</v>
      </c>
      <c r="D202" s="4" t="s">
        <v>254</v>
      </c>
      <c r="E202" s="4" t="s">
        <v>61</v>
      </c>
      <c r="F202" s="4">
        <v>15</v>
      </c>
      <c r="G202" s="4"/>
      <c r="H202" s="4"/>
      <c r="I202" s="4">
        <v>1994</v>
      </c>
      <c r="J202" s="4"/>
      <c r="K202" s="7"/>
      <c r="L202" s="5"/>
      <c r="M202" s="5"/>
      <c r="N202" s="5"/>
      <c r="O202" s="5"/>
      <c r="P202" s="5"/>
      <c r="Q202" s="5"/>
      <c r="R202" s="5"/>
    </row>
    <row r="203" spans="1:18" ht="18" customHeight="1" outlineLevel="1">
      <c r="A203" s="4"/>
      <c r="B203" s="20"/>
      <c r="C203" s="4" t="s">
        <v>262</v>
      </c>
      <c r="D203" s="4" t="s">
        <v>255</v>
      </c>
      <c r="E203" s="4" t="s">
        <v>283</v>
      </c>
      <c r="F203" s="4">
        <v>6</v>
      </c>
      <c r="G203" s="4"/>
      <c r="H203" s="4"/>
      <c r="I203" s="4">
        <v>1990</v>
      </c>
      <c r="J203" s="4"/>
      <c r="K203" s="7"/>
      <c r="L203" s="6"/>
      <c r="M203" s="6"/>
      <c r="N203" s="6"/>
      <c r="O203" s="6"/>
      <c r="P203" s="6"/>
      <c r="Q203" s="6"/>
      <c r="R203" s="6"/>
    </row>
    <row r="204" spans="1:18" ht="18" customHeight="1" outlineLevel="1">
      <c r="A204" s="4"/>
      <c r="B204" s="20"/>
      <c r="C204" s="4" t="s">
        <v>262</v>
      </c>
      <c r="D204" s="4" t="s">
        <v>256</v>
      </c>
      <c r="E204" s="4" t="s">
        <v>61</v>
      </c>
      <c r="F204" s="4">
        <v>120</v>
      </c>
      <c r="G204" s="4"/>
      <c r="H204" s="4"/>
      <c r="I204" s="4">
        <v>1995</v>
      </c>
      <c r="J204" s="4"/>
      <c r="K204" s="7"/>
      <c r="L204" s="5"/>
      <c r="M204" s="5"/>
      <c r="N204" s="5"/>
      <c r="O204" s="5"/>
      <c r="P204" s="5"/>
      <c r="Q204" s="5"/>
      <c r="R204" s="5"/>
    </row>
    <row r="205" spans="1:18" ht="18" customHeight="1" outlineLevel="1">
      <c r="A205" s="4"/>
      <c r="B205" s="20"/>
      <c r="C205" s="4" t="s">
        <v>263</v>
      </c>
      <c r="D205" s="4" t="s">
        <v>257</v>
      </c>
      <c r="E205" s="4" t="s">
        <v>61</v>
      </c>
      <c r="F205" s="4">
        <v>560</v>
      </c>
      <c r="G205" s="4"/>
      <c r="H205" s="4"/>
      <c r="I205" s="4">
        <v>1995</v>
      </c>
      <c r="J205" s="4"/>
      <c r="K205" s="133" t="s">
        <v>423</v>
      </c>
      <c r="L205" s="5"/>
      <c r="M205" s="5"/>
      <c r="N205" s="5"/>
      <c r="O205" s="5"/>
      <c r="P205" s="5"/>
      <c r="Q205" s="5"/>
      <c r="R205" s="5"/>
    </row>
    <row r="206" spans="1:18" ht="18" customHeight="1" outlineLevel="1">
      <c r="A206" s="4"/>
      <c r="B206" s="20"/>
      <c r="C206" s="4" t="s">
        <v>263</v>
      </c>
      <c r="D206" s="4" t="s">
        <v>258</v>
      </c>
      <c r="E206" s="4" t="s">
        <v>61</v>
      </c>
      <c r="F206" s="4">
        <v>37</v>
      </c>
      <c r="G206" s="4"/>
      <c r="H206" s="4"/>
      <c r="I206" s="4">
        <v>1995</v>
      </c>
      <c r="J206" s="4"/>
      <c r="K206" s="189" t="s">
        <v>450</v>
      </c>
      <c r="L206" s="5"/>
      <c r="M206" s="5"/>
      <c r="N206" s="5"/>
      <c r="O206" s="5"/>
      <c r="P206" s="5"/>
      <c r="Q206" s="5"/>
      <c r="R206" s="5"/>
    </row>
    <row r="207" spans="1:18" ht="18" customHeight="1" outlineLevel="1">
      <c r="A207" s="4"/>
      <c r="B207" s="20"/>
      <c r="C207" s="4" t="s">
        <v>264</v>
      </c>
      <c r="D207" s="4" t="s">
        <v>259</v>
      </c>
      <c r="E207" s="4" t="s">
        <v>60</v>
      </c>
      <c r="F207" s="4">
        <v>7</v>
      </c>
      <c r="G207" s="4"/>
      <c r="H207" s="4"/>
      <c r="I207" s="4">
        <v>1994</v>
      </c>
      <c r="J207" s="4"/>
      <c r="K207" s="7"/>
      <c r="L207" s="5"/>
      <c r="M207" s="5"/>
      <c r="N207" s="5"/>
      <c r="O207" s="5"/>
      <c r="P207" s="5"/>
      <c r="Q207" s="5"/>
      <c r="R207" s="5"/>
    </row>
    <row r="208" spans="1:18">
      <c r="A208" s="4"/>
      <c r="B208" s="20"/>
      <c r="C208" s="4" t="s">
        <v>264</v>
      </c>
      <c r="D208" s="4" t="s">
        <v>260</v>
      </c>
      <c r="E208" s="4" t="s">
        <v>61</v>
      </c>
      <c r="F208" s="4">
        <v>75</v>
      </c>
      <c r="G208" s="4"/>
      <c r="H208" s="4"/>
      <c r="I208" s="4">
        <v>1995</v>
      </c>
      <c r="J208" s="4"/>
      <c r="K208" s="7"/>
      <c r="L208" s="5"/>
      <c r="M208" s="5"/>
      <c r="N208" s="5"/>
      <c r="O208" s="5"/>
      <c r="P208" s="5"/>
      <c r="Q208" s="5"/>
      <c r="R208" s="5"/>
    </row>
    <row r="209" spans="1:18" ht="18" hidden="1" customHeight="1" outlineLevel="1">
      <c r="A209" s="4"/>
      <c r="B209" s="20"/>
      <c r="C209" s="4" t="s">
        <v>264</v>
      </c>
      <c r="D209" s="4" t="s">
        <v>261</v>
      </c>
      <c r="E209" s="4" t="s">
        <v>60</v>
      </c>
      <c r="F209" s="4">
        <v>60</v>
      </c>
      <c r="G209" s="4"/>
      <c r="H209" s="4"/>
      <c r="I209" s="4">
        <v>1995</v>
      </c>
      <c r="J209" s="4"/>
      <c r="K209" s="7"/>
      <c r="L209" s="5"/>
      <c r="M209" s="5"/>
      <c r="N209" s="5"/>
      <c r="O209" s="5"/>
      <c r="P209" s="5"/>
      <c r="Q209" s="5"/>
      <c r="R209" s="5"/>
    </row>
    <row r="210" spans="1:18" ht="18" hidden="1" customHeight="1" outlineLevel="1">
      <c r="A210" s="4"/>
      <c r="B210" s="20"/>
      <c r="C210" s="4" t="s">
        <v>264</v>
      </c>
      <c r="D210" s="4" t="s">
        <v>265</v>
      </c>
      <c r="E210" s="4" t="s">
        <v>61</v>
      </c>
      <c r="F210" s="4">
        <v>12</v>
      </c>
      <c r="G210" s="4"/>
      <c r="H210" s="4"/>
      <c r="I210" s="4">
        <v>1995</v>
      </c>
      <c r="J210" s="4"/>
      <c r="K210" s="7"/>
      <c r="L210" s="5"/>
      <c r="M210" s="5"/>
      <c r="N210" s="5"/>
      <c r="O210" s="5"/>
      <c r="P210" s="5"/>
      <c r="Q210" s="5"/>
      <c r="R210" s="5"/>
    </row>
    <row r="211" spans="1:18" ht="18" hidden="1" customHeight="1" outlineLevel="1">
      <c r="A211" s="4"/>
      <c r="B211" s="20"/>
      <c r="C211" s="4" t="s">
        <v>264</v>
      </c>
      <c r="D211" s="4" t="s">
        <v>266</v>
      </c>
      <c r="E211" s="4" t="s">
        <v>60</v>
      </c>
      <c r="F211" s="4">
        <v>6</v>
      </c>
      <c r="G211" s="4"/>
      <c r="H211" s="4"/>
      <c r="I211" s="4">
        <v>1995</v>
      </c>
      <c r="J211" s="4"/>
      <c r="K211" s="7"/>
      <c r="L211" s="6"/>
      <c r="M211" s="6"/>
      <c r="N211" s="6"/>
      <c r="O211" s="6"/>
      <c r="P211" s="6"/>
      <c r="Q211" s="6"/>
      <c r="R211" s="6"/>
    </row>
    <row r="212" spans="1:18" ht="18" hidden="1" customHeight="1" outlineLevel="1">
      <c r="A212" s="4"/>
      <c r="B212" s="20"/>
      <c r="C212" s="4" t="s">
        <v>264</v>
      </c>
      <c r="D212" s="4" t="s">
        <v>267</v>
      </c>
      <c r="E212" s="4" t="s">
        <v>60</v>
      </c>
      <c r="F212" s="4">
        <v>7</v>
      </c>
      <c r="G212" s="4"/>
      <c r="H212" s="4"/>
      <c r="I212" s="4">
        <v>1995</v>
      </c>
      <c r="J212" s="4"/>
      <c r="K212" s="7"/>
      <c r="L212" s="5"/>
      <c r="M212" s="5"/>
      <c r="N212" s="5"/>
      <c r="O212" s="5"/>
      <c r="P212" s="5"/>
      <c r="Q212" s="5"/>
      <c r="R212" s="5"/>
    </row>
    <row r="213" spans="1:18" ht="18" hidden="1" customHeight="1" outlineLevel="1">
      <c r="A213" s="4"/>
      <c r="B213" s="20"/>
      <c r="C213" s="4" t="s">
        <v>264</v>
      </c>
      <c r="D213" s="4" t="s">
        <v>268</v>
      </c>
      <c r="E213" s="4" t="s">
        <v>60</v>
      </c>
      <c r="F213" s="4">
        <v>200</v>
      </c>
      <c r="G213" s="4"/>
      <c r="H213" s="4"/>
      <c r="I213" s="4">
        <v>1995</v>
      </c>
      <c r="J213" s="4"/>
      <c r="K213" s="7"/>
      <c r="L213" s="4"/>
      <c r="M213" s="4"/>
      <c r="N213" s="4"/>
      <c r="O213" s="4"/>
      <c r="P213" s="4"/>
      <c r="Q213" s="4"/>
      <c r="R213" s="4"/>
    </row>
    <row r="214" spans="1:18" ht="18" hidden="1" customHeight="1" outlineLevel="1">
      <c r="A214" s="4"/>
      <c r="B214" s="20"/>
      <c r="C214" s="4" t="s">
        <v>264</v>
      </c>
      <c r="D214" s="4" t="s">
        <v>269</v>
      </c>
      <c r="E214" s="4" t="s">
        <v>60</v>
      </c>
      <c r="F214" s="4">
        <v>60</v>
      </c>
      <c r="G214" s="4"/>
      <c r="H214" s="4"/>
      <c r="I214" s="4">
        <v>1995</v>
      </c>
      <c r="J214" s="4"/>
      <c r="K214" s="7"/>
      <c r="L214" s="4"/>
      <c r="M214" s="4"/>
      <c r="N214" s="4"/>
      <c r="O214" s="4"/>
      <c r="P214" s="4"/>
      <c r="Q214" s="4"/>
      <c r="R214" s="4"/>
    </row>
    <row r="215" spans="1:18" ht="18" hidden="1" customHeight="1" outlineLevel="1">
      <c r="A215" s="4"/>
      <c r="B215" s="20"/>
      <c r="C215" s="4" t="s">
        <v>264</v>
      </c>
      <c r="D215" s="4" t="s">
        <v>270</v>
      </c>
      <c r="E215" s="4" t="s">
        <v>60</v>
      </c>
      <c r="F215" s="4">
        <v>64</v>
      </c>
      <c r="G215" s="4"/>
      <c r="H215" s="4"/>
      <c r="I215" s="4">
        <v>1995</v>
      </c>
      <c r="J215" s="4"/>
      <c r="K215" s="7"/>
      <c r="L215" s="4"/>
      <c r="M215" s="4"/>
      <c r="N215" s="4"/>
      <c r="O215" s="4"/>
      <c r="P215" s="4"/>
      <c r="Q215" s="4"/>
      <c r="R215" s="4"/>
    </row>
    <row r="216" spans="1:18" ht="18" hidden="1" customHeight="1" outlineLevel="1">
      <c r="A216" s="4"/>
      <c r="B216" s="20"/>
      <c r="C216" s="4" t="s">
        <v>264</v>
      </c>
      <c r="D216" s="4" t="s">
        <v>271</v>
      </c>
      <c r="E216" s="4" t="s">
        <v>60</v>
      </c>
      <c r="F216" s="4">
        <v>8</v>
      </c>
      <c r="G216" s="4"/>
      <c r="H216" s="4"/>
      <c r="I216" s="4">
        <v>1994</v>
      </c>
      <c r="J216" s="4"/>
      <c r="K216" s="7"/>
      <c r="L216" s="4"/>
      <c r="M216" s="4"/>
      <c r="N216" s="4"/>
      <c r="O216" s="4"/>
      <c r="P216" s="4"/>
      <c r="Q216" s="4"/>
      <c r="R216" s="4"/>
    </row>
    <row r="217" spans="1:18" collapsed="1">
      <c r="A217" s="4"/>
      <c r="B217" s="20"/>
      <c r="C217" s="4" t="s">
        <v>264</v>
      </c>
      <c r="D217" s="4" t="s">
        <v>272</v>
      </c>
      <c r="E217" s="4" t="s">
        <v>60</v>
      </c>
      <c r="F217" s="4">
        <v>22</v>
      </c>
      <c r="G217" s="4"/>
      <c r="H217" s="4"/>
      <c r="I217" s="4">
        <v>1994</v>
      </c>
      <c r="J217" s="4"/>
      <c r="K217" s="7"/>
      <c r="L217" s="4"/>
      <c r="M217" s="4"/>
      <c r="N217" s="4"/>
      <c r="O217" s="4"/>
      <c r="P217" s="4"/>
      <c r="Q217" s="4"/>
      <c r="R217" s="4"/>
    </row>
    <row r="218" spans="1:18" ht="18" customHeight="1" outlineLevel="1">
      <c r="A218" s="4"/>
      <c r="B218" s="20"/>
      <c r="C218" s="4" t="s">
        <v>264</v>
      </c>
      <c r="D218" s="116" t="s">
        <v>265</v>
      </c>
      <c r="E218" s="116" t="s">
        <v>61</v>
      </c>
      <c r="F218" s="4">
        <v>12</v>
      </c>
      <c r="G218" s="4"/>
      <c r="H218" s="4"/>
      <c r="I218" s="4">
        <v>1994</v>
      </c>
      <c r="J218" s="4"/>
      <c r="K218" s="7"/>
      <c r="L218" s="31"/>
      <c r="M218" s="4"/>
      <c r="N218" s="4"/>
      <c r="O218" s="4"/>
      <c r="P218" s="4"/>
      <c r="Q218" s="4"/>
      <c r="R218" s="4"/>
    </row>
    <row r="219" spans="1:18" ht="18" customHeight="1" outlineLevel="1">
      <c r="A219" s="4"/>
      <c r="B219" s="20"/>
      <c r="C219" s="4" t="s">
        <v>264</v>
      </c>
      <c r="D219" s="116" t="s">
        <v>266</v>
      </c>
      <c r="E219" s="4" t="s">
        <v>60</v>
      </c>
      <c r="F219" s="4">
        <v>6</v>
      </c>
      <c r="G219" s="4"/>
      <c r="H219" s="4"/>
      <c r="I219" s="4">
        <v>1995</v>
      </c>
      <c r="J219" s="4"/>
      <c r="K219" s="7"/>
      <c r="L219" s="31"/>
      <c r="M219" s="4"/>
      <c r="N219" s="4"/>
      <c r="O219" s="4"/>
      <c r="P219" s="4"/>
      <c r="Q219" s="4"/>
      <c r="R219" s="4"/>
    </row>
    <row r="220" spans="1:18" ht="18" customHeight="1" outlineLevel="1">
      <c r="A220" s="4"/>
      <c r="B220" s="20"/>
      <c r="C220" s="116" t="s">
        <v>264</v>
      </c>
      <c r="D220" s="116" t="s">
        <v>267</v>
      </c>
      <c r="E220" s="4" t="s">
        <v>60</v>
      </c>
      <c r="F220" s="4">
        <v>7</v>
      </c>
      <c r="G220" s="4"/>
      <c r="H220" s="4"/>
      <c r="I220" s="4">
        <v>1995</v>
      </c>
      <c r="J220" s="4"/>
      <c r="K220" s="7"/>
    </row>
    <row r="221" spans="1:18" ht="18" customHeight="1" outlineLevel="1">
      <c r="A221" s="4"/>
      <c r="B221" s="20"/>
      <c r="C221" s="116" t="s">
        <v>264</v>
      </c>
      <c r="D221" s="116" t="s">
        <v>268</v>
      </c>
      <c r="E221" s="116" t="s">
        <v>60</v>
      </c>
      <c r="F221" s="4">
        <v>200</v>
      </c>
      <c r="G221" s="4"/>
      <c r="H221" s="4"/>
      <c r="I221" s="4">
        <v>1995</v>
      </c>
      <c r="J221" s="4"/>
      <c r="K221" s="7"/>
    </row>
    <row r="222" spans="1:18" ht="18" customHeight="1" outlineLevel="1">
      <c r="A222" s="4"/>
      <c r="B222" s="20"/>
      <c r="C222" s="116" t="s">
        <v>264</v>
      </c>
      <c r="D222" s="116" t="s">
        <v>269</v>
      </c>
      <c r="E222" s="116" t="s">
        <v>60</v>
      </c>
      <c r="F222" s="4">
        <v>60</v>
      </c>
      <c r="G222" s="4"/>
      <c r="H222" s="4"/>
      <c r="I222" s="4">
        <v>1995</v>
      </c>
      <c r="J222" s="4"/>
      <c r="K222" s="7"/>
    </row>
    <row r="223" spans="1:18" ht="18" customHeight="1" outlineLevel="1">
      <c r="A223" s="4"/>
      <c r="B223" s="20"/>
      <c r="C223" s="116" t="s">
        <v>264</v>
      </c>
      <c r="D223" s="116" t="s">
        <v>270</v>
      </c>
      <c r="E223" s="116" t="s">
        <v>60</v>
      </c>
      <c r="F223" s="4">
        <v>64</v>
      </c>
      <c r="G223" s="4"/>
      <c r="H223" s="4"/>
      <c r="I223" s="4">
        <v>1995</v>
      </c>
      <c r="J223" s="4"/>
      <c r="K223" s="7"/>
    </row>
    <row r="224" spans="1:18" ht="18" customHeight="1" outlineLevel="1">
      <c r="A224" s="4"/>
      <c r="B224" s="20"/>
      <c r="C224" s="116" t="s">
        <v>264</v>
      </c>
      <c r="D224" s="116" t="s">
        <v>271</v>
      </c>
      <c r="E224" s="116" t="s">
        <v>60</v>
      </c>
      <c r="F224" s="4">
        <v>8</v>
      </c>
      <c r="G224" s="4"/>
      <c r="H224" s="4"/>
      <c r="I224" s="4">
        <v>1994</v>
      </c>
      <c r="J224" s="4"/>
      <c r="K224" s="7"/>
    </row>
    <row r="225" spans="1:11" ht="18" customHeight="1" outlineLevel="1">
      <c r="A225" s="4"/>
      <c r="B225" s="20"/>
      <c r="C225" s="116" t="s">
        <v>264</v>
      </c>
      <c r="D225" s="116" t="s">
        <v>272</v>
      </c>
      <c r="E225" s="116" t="s">
        <v>60</v>
      </c>
      <c r="F225" s="4">
        <v>22</v>
      </c>
      <c r="G225" s="4"/>
      <c r="H225" s="4"/>
      <c r="I225" s="4">
        <v>1994</v>
      </c>
      <c r="J225" s="4"/>
      <c r="K225" s="7"/>
    </row>
    <row r="226" spans="1:11" ht="18" customHeight="1" outlineLevel="1">
      <c r="A226" s="105"/>
      <c r="B226" s="115"/>
      <c r="C226" s="113" t="s">
        <v>264</v>
      </c>
      <c r="D226" s="116" t="s">
        <v>273</v>
      </c>
      <c r="E226" s="116" t="s">
        <v>60</v>
      </c>
      <c r="F226" s="4">
        <v>9</v>
      </c>
      <c r="G226" s="116"/>
      <c r="H226" s="116"/>
      <c r="I226" s="4">
        <v>1994</v>
      </c>
      <c r="J226" s="116"/>
      <c r="K226" s="133"/>
    </row>
    <row r="227" spans="1:11" ht="18" customHeight="1" outlineLevel="1">
      <c r="A227" s="105"/>
      <c r="B227" s="115"/>
      <c r="C227" s="113" t="s">
        <v>264</v>
      </c>
      <c r="D227" s="116" t="s">
        <v>274</v>
      </c>
      <c r="E227" s="116" t="s">
        <v>60</v>
      </c>
      <c r="F227" s="116">
        <v>13</v>
      </c>
      <c r="G227" s="116"/>
      <c r="H227" s="116"/>
      <c r="I227" s="116">
        <v>1994</v>
      </c>
      <c r="J227" s="116"/>
      <c r="K227" s="133"/>
    </row>
    <row r="228" spans="1:11">
      <c r="A228" s="105"/>
      <c r="B228" s="115"/>
      <c r="C228" s="113" t="s">
        <v>264</v>
      </c>
      <c r="D228" s="116" t="s">
        <v>275</v>
      </c>
      <c r="E228" s="116" t="s">
        <v>60</v>
      </c>
      <c r="F228" s="116">
        <v>18</v>
      </c>
      <c r="G228" s="116"/>
      <c r="H228" s="116"/>
      <c r="I228" s="116">
        <v>1994</v>
      </c>
      <c r="J228" s="116"/>
      <c r="K228" s="133"/>
    </row>
    <row r="229" spans="1:11">
      <c r="A229" s="105"/>
      <c r="B229" s="115"/>
      <c r="C229" s="113" t="s">
        <v>276</v>
      </c>
      <c r="D229" s="116" t="s">
        <v>277</v>
      </c>
      <c r="E229" s="116" t="s">
        <v>61</v>
      </c>
      <c r="F229" s="116">
        <v>21</v>
      </c>
      <c r="G229" s="116"/>
      <c r="H229" s="116"/>
      <c r="I229" s="116">
        <v>1994</v>
      </c>
      <c r="J229" s="116"/>
      <c r="K229" s="133"/>
    </row>
    <row r="230" spans="1:11">
      <c r="A230" s="105"/>
      <c r="B230" s="115"/>
      <c r="C230" s="113" t="s">
        <v>276</v>
      </c>
      <c r="D230" s="116" t="s">
        <v>278</v>
      </c>
      <c r="E230" s="116"/>
      <c r="F230" s="116">
        <v>7</v>
      </c>
      <c r="G230" s="116"/>
      <c r="H230" s="116"/>
      <c r="I230" s="116">
        <v>1994</v>
      </c>
      <c r="J230" s="116"/>
      <c r="K230" s="133"/>
    </row>
    <row r="231" spans="1:11">
      <c r="A231" s="105"/>
      <c r="B231" s="115"/>
      <c r="C231" s="113" t="s">
        <v>276</v>
      </c>
      <c r="D231" s="116" t="s">
        <v>279</v>
      </c>
      <c r="E231" s="116" t="s">
        <v>434</v>
      </c>
      <c r="F231" s="116">
        <v>70</v>
      </c>
      <c r="G231" s="116"/>
      <c r="H231" s="116"/>
      <c r="I231" s="116">
        <v>1994</v>
      </c>
      <c r="J231" s="116"/>
      <c r="K231" s="133"/>
    </row>
    <row r="232" spans="1:11">
      <c r="A232" s="105"/>
      <c r="B232" s="115"/>
      <c r="C232" s="113" t="s">
        <v>276</v>
      </c>
      <c r="D232" s="116" t="s">
        <v>280</v>
      </c>
      <c r="E232" s="116" t="s">
        <v>62</v>
      </c>
      <c r="F232" s="116">
        <v>100</v>
      </c>
      <c r="G232" s="116"/>
      <c r="H232" s="116"/>
      <c r="I232" s="116">
        <v>1994</v>
      </c>
      <c r="J232" s="116"/>
      <c r="K232" s="133"/>
    </row>
    <row r="233" spans="1:11" outlineLevel="1">
      <c r="A233" s="105"/>
      <c r="B233" s="115"/>
      <c r="C233" s="113" t="s">
        <v>276</v>
      </c>
      <c r="D233" s="116" t="s">
        <v>281</v>
      </c>
      <c r="E233" s="116" t="s">
        <v>61</v>
      </c>
      <c r="F233" s="116">
        <v>10</v>
      </c>
      <c r="G233" s="116"/>
      <c r="H233" s="116"/>
      <c r="I233" s="116">
        <v>1994</v>
      </c>
      <c r="J233" s="116"/>
      <c r="K233" s="133"/>
    </row>
    <row r="234" spans="1:11" outlineLevel="1">
      <c r="A234" s="105"/>
      <c r="B234" s="115"/>
      <c r="C234" s="113" t="s">
        <v>276</v>
      </c>
      <c r="D234" s="116" t="s">
        <v>282</v>
      </c>
      <c r="E234" s="116" t="s">
        <v>61</v>
      </c>
      <c r="F234" s="116">
        <v>13</v>
      </c>
      <c r="G234" s="116"/>
      <c r="H234" s="116"/>
      <c r="I234" s="116">
        <v>1994</v>
      </c>
      <c r="J234" s="116"/>
      <c r="K234" s="133"/>
    </row>
    <row r="235" spans="1:11" outlineLevel="1">
      <c r="A235" s="4"/>
      <c r="B235" s="20"/>
      <c r="C235" s="116"/>
      <c r="D235" s="116"/>
      <c r="E235" s="116"/>
      <c r="F235" s="4"/>
      <c r="G235" s="4"/>
      <c r="H235" s="4"/>
      <c r="I235" s="4"/>
      <c r="J235" s="4"/>
      <c r="K235" s="7"/>
    </row>
    <row r="236" spans="1:11" ht="21" outlineLevel="1">
      <c r="A236" s="4">
        <v>14</v>
      </c>
      <c r="B236" s="20" t="s">
        <v>20</v>
      </c>
      <c r="C236" s="33"/>
      <c r="D236" s="5"/>
      <c r="E236" s="5"/>
      <c r="F236" s="5"/>
      <c r="G236" s="5"/>
      <c r="H236" s="5"/>
      <c r="I236" s="5"/>
      <c r="J236" s="5"/>
      <c r="K236" s="7"/>
    </row>
    <row r="237" spans="1:11" ht="21" outlineLevel="1">
      <c r="A237" s="4"/>
      <c r="B237" s="68"/>
      <c r="C237" s="69" t="s">
        <v>284</v>
      </c>
      <c r="D237" s="96"/>
      <c r="E237" s="69"/>
      <c r="F237" s="69"/>
      <c r="G237" s="69"/>
      <c r="H237" s="69"/>
      <c r="I237" s="69"/>
      <c r="J237" s="69"/>
      <c r="K237" s="70"/>
    </row>
    <row r="238" spans="1:11" outlineLevel="1">
      <c r="A238" s="4"/>
      <c r="B238" s="68"/>
      <c r="C238" s="69" t="s">
        <v>285</v>
      </c>
      <c r="D238" s="69" t="s">
        <v>289</v>
      </c>
      <c r="E238" s="69"/>
      <c r="F238" s="69"/>
      <c r="G238" s="69"/>
      <c r="H238" s="69"/>
      <c r="I238" s="69"/>
      <c r="J238" s="69"/>
      <c r="K238" s="70"/>
    </row>
    <row r="239" spans="1:11" outlineLevel="1">
      <c r="A239" s="4"/>
      <c r="B239" s="68"/>
      <c r="C239" s="69" t="s">
        <v>285</v>
      </c>
      <c r="D239" s="69" t="s">
        <v>290</v>
      </c>
      <c r="E239" s="69"/>
      <c r="F239" s="69"/>
      <c r="G239" s="69"/>
      <c r="H239" s="69"/>
      <c r="I239" s="69"/>
      <c r="J239" s="69"/>
      <c r="K239" s="70"/>
    </row>
    <row r="240" spans="1:11" outlineLevel="1">
      <c r="A240" s="4"/>
      <c r="B240" s="68"/>
      <c r="C240" s="69" t="s">
        <v>286</v>
      </c>
      <c r="D240" s="69" t="s">
        <v>291</v>
      </c>
      <c r="E240" s="69"/>
      <c r="F240" s="69"/>
      <c r="G240" s="69"/>
      <c r="H240" s="69"/>
      <c r="I240" s="69"/>
      <c r="J240" s="69"/>
      <c r="K240" s="70"/>
    </row>
    <row r="241" spans="1:11" outlineLevel="1">
      <c r="A241" s="4"/>
      <c r="B241" s="68"/>
      <c r="C241" s="69" t="s">
        <v>287</v>
      </c>
      <c r="D241" s="69" t="s">
        <v>292</v>
      </c>
      <c r="E241" s="69"/>
      <c r="F241" s="69"/>
      <c r="G241" s="69"/>
      <c r="H241" s="69"/>
      <c r="I241" s="69"/>
      <c r="J241" s="69"/>
      <c r="K241" s="70"/>
    </row>
    <row r="242" spans="1:11" outlineLevel="1">
      <c r="A242" s="4"/>
      <c r="B242" s="68"/>
      <c r="C242" s="69" t="s">
        <v>288</v>
      </c>
      <c r="D242" s="69" t="s">
        <v>293</v>
      </c>
      <c r="E242" s="69"/>
      <c r="F242" s="69"/>
      <c r="G242" s="69"/>
      <c r="H242" s="69"/>
      <c r="I242" s="69"/>
      <c r="J242" s="69"/>
      <c r="K242" s="70"/>
    </row>
    <row r="243" spans="1:11" outlineLevel="1">
      <c r="A243" s="4"/>
      <c r="B243" s="68"/>
      <c r="C243" s="69" t="s">
        <v>287</v>
      </c>
      <c r="D243" s="69" t="s">
        <v>294</v>
      </c>
      <c r="E243" s="69"/>
      <c r="F243" s="69"/>
      <c r="G243" s="69"/>
      <c r="H243" s="69"/>
      <c r="I243" s="69"/>
      <c r="J243" s="69"/>
      <c r="K243" s="70"/>
    </row>
    <row r="244" spans="1:11" outlineLevel="1">
      <c r="A244" s="5"/>
      <c r="B244" s="68"/>
      <c r="C244" s="97"/>
      <c r="D244" s="69" t="s">
        <v>295</v>
      </c>
      <c r="E244" s="69"/>
      <c r="F244" s="69"/>
      <c r="G244" s="69"/>
      <c r="H244" s="69"/>
      <c r="I244" s="69"/>
      <c r="J244" s="69"/>
      <c r="K244" s="70"/>
    </row>
    <row r="245" spans="1:11" ht="21" outlineLevel="1">
      <c r="A245" s="4">
        <v>15</v>
      </c>
      <c r="B245" s="20" t="s">
        <v>21</v>
      </c>
      <c r="C245" s="33"/>
      <c r="D245" s="5"/>
      <c r="E245" s="5"/>
      <c r="F245" s="5"/>
      <c r="G245" s="5"/>
      <c r="H245" s="5"/>
      <c r="I245" s="5"/>
      <c r="J245" s="5"/>
      <c r="K245" s="7"/>
    </row>
    <row r="246" spans="1:11" ht="21">
      <c r="A246" s="8"/>
      <c r="B246" s="53"/>
      <c r="C246" s="54"/>
      <c r="D246" s="94"/>
      <c r="E246" s="54"/>
      <c r="F246" s="54"/>
      <c r="G246" s="54"/>
      <c r="H246" s="54"/>
      <c r="I246" s="54"/>
      <c r="J246" s="54"/>
      <c r="K246" s="95"/>
    </row>
    <row r="247" spans="1:11" outlineLevel="1">
      <c r="A247" s="8"/>
      <c r="B247" s="53"/>
      <c r="C247" s="54"/>
      <c r="D247" s="54" t="s">
        <v>296</v>
      </c>
      <c r="E247" s="54" t="s">
        <v>60</v>
      </c>
      <c r="F247" s="54">
        <v>42</v>
      </c>
      <c r="G247" s="54"/>
      <c r="H247" s="54"/>
      <c r="I247" s="54">
        <v>1990</v>
      </c>
      <c r="J247" s="54"/>
      <c r="K247" s="54"/>
    </row>
    <row r="248" spans="1:11" outlineLevel="1">
      <c r="A248" s="8"/>
      <c r="B248" s="53"/>
      <c r="C248" s="54"/>
      <c r="D248" s="54" t="s">
        <v>297</v>
      </c>
      <c r="E248" s="54" t="s">
        <v>60</v>
      </c>
      <c r="F248" s="54">
        <v>125</v>
      </c>
      <c r="G248" s="54"/>
      <c r="H248" s="54"/>
      <c r="I248" s="54"/>
      <c r="J248" s="54"/>
      <c r="K248" s="54"/>
    </row>
    <row r="249" spans="1:11" ht="34" outlineLevel="1">
      <c r="A249" s="8"/>
      <c r="B249" s="53"/>
      <c r="C249" s="54" t="s">
        <v>302</v>
      </c>
      <c r="D249" s="80" t="s">
        <v>298</v>
      </c>
      <c r="E249" s="54" t="s">
        <v>61</v>
      </c>
      <c r="F249" s="98">
        <v>100</v>
      </c>
      <c r="G249" s="54"/>
      <c r="H249" s="54"/>
      <c r="I249" s="54">
        <v>1994</v>
      </c>
      <c r="J249" s="54"/>
      <c r="K249" s="54"/>
    </row>
    <row r="250" spans="1:11" outlineLevel="1">
      <c r="A250" s="8"/>
      <c r="B250" s="53"/>
      <c r="C250" s="54" t="s">
        <v>303</v>
      </c>
      <c r="D250" s="54" t="s">
        <v>299</v>
      </c>
      <c r="E250" s="54" t="s">
        <v>61</v>
      </c>
      <c r="F250" s="100">
        <v>20</v>
      </c>
      <c r="G250" s="54"/>
      <c r="H250" s="54"/>
      <c r="I250" s="54"/>
      <c r="J250" s="54"/>
      <c r="K250" s="54"/>
    </row>
    <row r="251" spans="1:11" outlineLevel="1">
      <c r="A251" s="8"/>
      <c r="B251" s="53"/>
      <c r="C251" s="54" t="s">
        <v>303</v>
      </c>
      <c r="D251" s="54" t="s">
        <v>300</v>
      </c>
      <c r="E251" s="54" t="s">
        <v>307</v>
      </c>
      <c r="F251" s="54">
        <v>6</v>
      </c>
      <c r="G251" s="54"/>
      <c r="H251" s="54"/>
      <c r="I251" s="54">
        <v>2003</v>
      </c>
      <c r="J251" s="54"/>
      <c r="K251" s="54"/>
    </row>
    <row r="252" spans="1:11" ht="37" outlineLevel="1">
      <c r="A252" s="8"/>
      <c r="B252" s="53"/>
      <c r="C252" s="54" t="s">
        <v>304</v>
      </c>
      <c r="D252" s="80" t="s">
        <v>301</v>
      </c>
      <c r="E252" s="54" t="s">
        <v>307</v>
      </c>
      <c r="F252" s="54"/>
      <c r="G252" s="54"/>
      <c r="H252" s="54"/>
      <c r="I252" s="99">
        <v>37803</v>
      </c>
      <c r="J252" s="54"/>
      <c r="K252" s="54"/>
    </row>
    <row r="253" spans="1:11" outlineLevel="1">
      <c r="A253" s="8"/>
      <c r="B253" s="53"/>
      <c r="C253" s="54" t="s">
        <v>304</v>
      </c>
      <c r="D253" s="54" t="s">
        <v>305</v>
      </c>
      <c r="E253" s="54" t="s">
        <v>61</v>
      </c>
      <c r="F253" s="54">
        <v>14</v>
      </c>
      <c r="G253" s="54"/>
      <c r="H253" s="54"/>
      <c r="I253" s="54">
        <v>1993</v>
      </c>
      <c r="J253" s="54"/>
      <c r="K253" s="54"/>
    </row>
    <row r="254" spans="1:11" outlineLevel="1">
      <c r="A254" s="8"/>
      <c r="B254" s="53"/>
      <c r="C254" s="54" t="s">
        <v>303</v>
      </c>
      <c r="D254" s="54" t="s">
        <v>306</v>
      </c>
      <c r="E254" s="54" t="s">
        <v>61</v>
      </c>
      <c r="F254" s="54">
        <v>500</v>
      </c>
      <c r="G254" s="54"/>
      <c r="H254" s="54"/>
      <c r="I254" s="54">
        <v>1994</v>
      </c>
      <c r="J254" s="54"/>
      <c r="K254" s="54"/>
    </row>
    <row r="255" spans="1:11" outlineLevel="1">
      <c r="B255" s="53"/>
      <c r="C255" s="54"/>
      <c r="D255" s="54"/>
      <c r="E255" s="54" t="s">
        <v>61</v>
      </c>
      <c r="F255" s="54">
        <v>100</v>
      </c>
      <c r="G255" s="54"/>
      <c r="H255" s="54"/>
      <c r="I255" s="54">
        <v>1993</v>
      </c>
      <c r="J255" s="54"/>
      <c r="K255" s="54"/>
    </row>
    <row r="256" spans="1:11" ht="51" outlineLevel="1">
      <c r="A256" s="105"/>
      <c r="B256" s="134"/>
      <c r="C256" s="135" t="s">
        <v>303</v>
      </c>
      <c r="D256" s="136"/>
      <c r="E256" s="137" t="s">
        <v>61</v>
      </c>
      <c r="F256" s="139" t="s">
        <v>424</v>
      </c>
      <c r="G256" s="137"/>
      <c r="H256" s="137"/>
      <c r="I256" s="140">
        <v>34504</v>
      </c>
      <c r="J256" s="137"/>
      <c r="K256" s="138"/>
    </row>
    <row r="258" spans="3:7" outlineLevel="1">
      <c r="C258" s="19"/>
    </row>
    <row r="259" spans="3:7" ht="21" outlineLevel="1">
      <c r="C259" s="174" t="s">
        <v>375</v>
      </c>
      <c r="D259" s="174"/>
      <c r="E259" s="174"/>
    </row>
    <row r="260" spans="3:7" ht="19" outlineLevel="1">
      <c r="C260" s="101" t="s">
        <v>0</v>
      </c>
      <c r="D260" s="101" t="s">
        <v>362</v>
      </c>
      <c r="E260" s="101" t="s">
        <v>363</v>
      </c>
      <c r="G260" s="19"/>
    </row>
    <row r="261" spans="3:7" ht="19" outlineLevel="1">
      <c r="C261" s="175" t="s">
        <v>7</v>
      </c>
      <c r="D261" s="176"/>
      <c r="E261" s="177"/>
      <c r="G261" s="19"/>
    </row>
    <row r="262" spans="3:7" ht="17" outlineLevel="1">
      <c r="C262" s="16"/>
      <c r="D262" s="40" t="s">
        <v>27</v>
      </c>
      <c r="E262" s="4">
        <f>SUMIF(D5:D17,"Demeh (Combat Camp)",(F5:F17))</f>
        <v>0</v>
      </c>
    </row>
    <row r="263" spans="3:7" outlineLevel="1">
      <c r="C263" s="4"/>
      <c r="D263" s="39" t="s">
        <v>29</v>
      </c>
      <c r="E263" s="4">
        <f>SUMIF(D5:D17,"Golodee Gaila",(F5:F17))</f>
        <v>0</v>
      </c>
    </row>
    <row r="264" spans="3:7" outlineLevel="1">
      <c r="C264" s="4"/>
      <c r="D264" s="39" t="s">
        <v>30</v>
      </c>
      <c r="E264" s="4">
        <f>SUMIF(D5:D17,"Nyouwandee",(F5:F17))</f>
        <v>83</v>
      </c>
    </row>
    <row r="265" spans="3:7" outlineLevel="1">
      <c r="C265" s="4"/>
      <c r="D265" s="39" t="s">
        <v>44</v>
      </c>
      <c r="E265" s="4">
        <f>SUMIF(D5:D17,"Gbah Jakeh",(F5:F17))</f>
        <v>0</v>
      </c>
    </row>
    <row r="266" spans="3:7" outlineLevel="1">
      <c r="C266" s="4"/>
      <c r="D266" s="39" t="s">
        <v>31</v>
      </c>
      <c r="E266" s="4">
        <f>SUMIF(D5:D17,"Tubmanburg",(F5:F17))</f>
        <v>1000</v>
      </c>
    </row>
    <row r="267" spans="3:7" ht="17" outlineLevel="1">
      <c r="C267" s="4"/>
      <c r="D267" s="40" t="s">
        <v>32</v>
      </c>
      <c r="E267" s="4">
        <f>SUMIF(D5:D17,"St. Dominic Compound",(F5:F17))</f>
        <v>300</v>
      </c>
    </row>
    <row r="268" spans="3:7" outlineLevel="1">
      <c r="C268" s="4"/>
      <c r="D268" s="39" t="s">
        <v>33</v>
      </c>
      <c r="E268" s="4">
        <f>SUMIF(D5:D17,"Bomi Police Station",(F5:F17))</f>
        <v>0</v>
      </c>
    </row>
    <row r="269" spans="3:7" ht="17" outlineLevel="1">
      <c r="C269" s="4"/>
      <c r="D269" s="40" t="s">
        <v>34</v>
      </c>
      <c r="E269" s="4">
        <f>SUMIF(D5:D17,"India Wate  New Road",(F5:F17))</f>
        <v>0</v>
      </c>
    </row>
    <row r="270" spans="3:7" outlineLevel="1">
      <c r="C270" s="4"/>
      <c r="D270" s="39" t="s">
        <v>35</v>
      </c>
      <c r="E270" s="4">
        <f>SUMIF(D5:D17,"Maher River Bridge",(F5:F17))</f>
        <v>0</v>
      </c>
    </row>
    <row r="271" spans="3:7" outlineLevel="1">
      <c r="C271" s="4"/>
      <c r="D271" s="39" t="s">
        <v>36</v>
      </c>
      <c r="E271" s="4">
        <f>SUMIF(D5:D17,"Weakama",(F5:F17))</f>
        <v>0</v>
      </c>
    </row>
    <row r="272" spans="3:7" outlineLevel="1">
      <c r="C272" s="4"/>
      <c r="D272" s="39" t="s">
        <v>45</v>
      </c>
      <c r="E272" s="4">
        <f>SUMIF(D5:D17,"Gbojay*",(F5:F17))</f>
        <v>0</v>
      </c>
    </row>
    <row r="273" spans="3:5" ht="17" outlineLevel="1">
      <c r="C273" s="4"/>
      <c r="D273" s="40" t="s">
        <v>37</v>
      </c>
      <c r="E273" s="4">
        <f>SUMIF(D5:D17,"Madina Football Field",(F5:F17))</f>
        <v>150</v>
      </c>
    </row>
    <row r="274" spans="3:5" outlineLevel="1">
      <c r="C274" s="169" t="s">
        <v>364</v>
      </c>
      <c r="D274" s="170"/>
      <c r="E274" s="14">
        <f>SUM(E262:E273)</f>
        <v>1533</v>
      </c>
    </row>
    <row r="275" spans="3:5" outlineLevel="1">
      <c r="C275" s="162" t="s">
        <v>8</v>
      </c>
      <c r="D275" s="167"/>
      <c r="E275" s="168"/>
    </row>
    <row r="276" spans="3:5" outlineLevel="1">
      <c r="C276" s="16"/>
      <c r="D276" s="16" t="s">
        <v>51</v>
      </c>
      <c r="E276" s="4">
        <f>SUMIF(D19:D28,"Folonailah",(F19:F28))</f>
        <v>100</v>
      </c>
    </row>
    <row r="277" spans="3:5">
      <c r="C277" s="4"/>
      <c r="D277" s="16" t="s">
        <v>52</v>
      </c>
      <c r="E277" s="4">
        <f>SUMIF(D19:D28,"Kpolokpala",(F19:F28))</f>
        <v>750</v>
      </c>
    </row>
    <row r="278" spans="3:5" outlineLevel="1">
      <c r="C278" s="4"/>
      <c r="D278" s="16" t="s">
        <v>53</v>
      </c>
      <c r="E278" s="4">
        <f>SUMIF(D19:D28,"Samay",(F19:F28))</f>
        <v>500</v>
      </c>
    </row>
    <row r="279" spans="3:5" outlineLevel="1">
      <c r="C279" s="4"/>
      <c r="D279" s="16" t="s">
        <v>54</v>
      </c>
      <c r="E279" s="4">
        <f>SUMIF(D19:D28,"Gbonta",(F19:F28))</f>
        <v>125</v>
      </c>
    </row>
    <row r="280" spans="3:5" outlineLevel="1">
      <c r="C280" s="4"/>
      <c r="D280" s="16" t="s">
        <v>55</v>
      </c>
      <c r="E280" s="4">
        <f>SUMIF(D19:D28,"Gbanah Ta",(F19:F28))</f>
        <v>50</v>
      </c>
    </row>
    <row r="281" spans="3:5" outlineLevel="1">
      <c r="C281" s="4"/>
      <c r="D281" s="16" t="s">
        <v>56</v>
      </c>
      <c r="E281" s="4">
        <f>SUMIF(D19:D28,"Gweyea/Gyegamme",(F19:F28))</f>
        <v>500</v>
      </c>
    </row>
    <row r="282" spans="3:5" outlineLevel="1">
      <c r="C282" s="4"/>
      <c r="D282" s="16" t="s">
        <v>57</v>
      </c>
      <c r="E282" s="4">
        <f>SUMIF(D19:D28,"Phebe Hospital",(F19:F28))</f>
        <v>100</v>
      </c>
    </row>
    <row r="283" spans="3:5" outlineLevel="1">
      <c r="C283" s="4"/>
      <c r="D283" s="16" t="s">
        <v>58</v>
      </c>
      <c r="E283" s="4">
        <f>SUMIF(D19:D28,"Naame",(F19:F28))</f>
        <v>1000</v>
      </c>
    </row>
    <row r="284" spans="3:5" outlineLevel="1">
      <c r="C284" s="4"/>
      <c r="D284" s="102" t="s">
        <v>59</v>
      </c>
      <c r="E284" s="4">
        <f>SUMIF(D19:D28,"Gbarnga Iron Gate",(F19:F28))</f>
        <v>0</v>
      </c>
    </row>
    <row r="285" spans="3:5" outlineLevel="1">
      <c r="C285" s="169" t="s">
        <v>364</v>
      </c>
      <c r="D285" s="170"/>
      <c r="E285" s="14">
        <f>SUM(E276:E284)</f>
        <v>3125</v>
      </c>
    </row>
    <row r="286" spans="3:5">
      <c r="C286" s="162" t="s">
        <v>9</v>
      </c>
      <c r="D286" s="163"/>
      <c r="E286" s="164"/>
    </row>
    <row r="287" spans="3:5" outlineLevel="1">
      <c r="C287" s="4"/>
      <c r="D287" s="56" t="s">
        <v>77</v>
      </c>
      <c r="E287" s="4">
        <f>F292</f>
        <v>0</v>
      </c>
    </row>
    <row r="288" spans="3:5" outlineLevel="1">
      <c r="C288" s="4"/>
      <c r="D288" s="16" t="s">
        <v>70</v>
      </c>
      <c r="E288" s="4">
        <f>SUMIF(D30:D48,"Media Town",(F30:F48))</f>
        <v>0</v>
      </c>
    </row>
    <row r="289" spans="3:5" outlineLevel="1">
      <c r="C289" s="4"/>
      <c r="D289" s="16" t="s">
        <v>78</v>
      </c>
      <c r="E289" s="4">
        <f>SUMIF(D30:D48,"Totoquelleh",(F30:F48))</f>
        <v>0</v>
      </c>
    </row>
    <row r="290" spans="3:5" outlineLevel="1">
      <c r="C290" s="4"/>
      <c r="D290" s="16" t="s">
        <v>69</v>
      </c>
      <c r="E290" s="4">
        <f>SUMIF(D30:D48,"Henry Town",(F30:F48))</f>
        <v>0</v>
      </c>
    </row>
    <row r="291" spans="3:5" outlineLevel="1">
      <c r="C291" s="4"/>
      <c r="D291" s="16" t="s">
        <v>360</v>
      </c>
      <c r="E291" s="4">
        <f>SUMIF(D30:D48,"Obayama Town (Gbayama)",(F30:F48))</f>
        <v>0</v>
      </c>
    </row>
    <row r="292" spans="3:5" outlineLevel="1">
      <c r="C292" s="4"/>
      <c r="D292" s="16" t="s">
        <v>79</v>
      </c>
      <c r="E292" s="4">
        <f>SUMIF(D30:D48,"Armada Town",(F30:F48))</f>
        <v>0</v>
      </c>
    </row>
    <row r="293" spans="3:5" outlineLevel="1">
      <c r="C293" s="4"/>
      <c r="D293" s="16" t="s">
        <v>81</v>
      </c>
      <c r="E293" s="4">
        <f>SUMIF(D30:D48,"Gbarma Town",(F30:F48))</f>
        <v>0</v>
      </c>
    </row>
    <row r="294" spans="3:5" outlineLevel="1">
      <c r="C294" s="4"/>
      <c r="D294" s="16" t="s">
        <v>75</v>
      </c>
      <c r="E294" s="4">
        <f>SUMIF(D30:D48,"Sawmill Town",(F30:F48))</f>
        <v>0</v>
      </c>
    </row>
    <row r="295" spans="3:5" outlineLevel="1">
      <c r="C295" s="4"/>
      <c r="D295" s="16" t="s">
        <v>73</v>
      </c>
      <c r="E295" s="4">
        <f>SUMIF(D30:D48,"Yangayah Town",(F30:F48))</f>
        <v>0</v>
      </c>
    </row>
    <row r="296" spans="3:5" outlineLevel="1">
      <c r="C296" s="4"/>
      <c r="D296" s="16" t="s">
        <v>82</v>
      </c>
      <c r="E296" s="4">
        <f>SUMIF(D30:D48,"Weasua Town",(F30:F48))</f>
        <v>0</v>
      </c>
    </row>
    <row r="297" spans="3:5" outlineLevel="1">
      <c r="C297" s="4"/>
      <c r="D297" s="16" t="s">
        <v>74</v>
      </c>
      <c r="E297" s="4">
        <f>E298</f>
        <v>0</v>
      </c>
    </row>
    <row r="298" spans="3:5" outlineLevel="1">
      <c r="C298" s="4"/>
      <c r="D298" s="16" t="s">
        <v>71</v>
      </c>
      <c r="E298" s="4">
        <f>SUMIF(D30:D48,"Fassama",(F30:F48))</f>
        <v>0</v>
      </c>
    </row>
    <row r="299" spans="3:5" outlineLevel="1">
      <c r="C299" s="4"/>
      <c r="D299" s="16" t="s">
        <v>83</v>
      </c>
      <c r="E299" s="4">
        <f>SUMIF(D30:D48,"Mavatro Town",(F30:F48))</f>
        <v>0</v>
      </c>
    </row>
    <row r="300" spans="3:5" outlineLevel="1">
      <c r="C300" s="4"/>
      <c r="D300" s="16" t="s">
        <v>80</v>
      </c>
      <c r="E300" s="4">
        <f>SUMIF(D30:D48,"Konasu Town",(F30:F48))</f>
        <v>0</v>
      </c>
    </row>
    <row r="301" spans="3:5" outlineLevel="1">
      <c r="C301" s="4"/>
      <c r="D301" s="16" t="s">
        <v>67</v>
      </c>
      <c r="E301" s="4">
        <f>SUMIF(D30:D48,"Bokomu Town",(F30:F48))</f>
        <v>0</v>
      </c>
    </row>
    <row r="302" spans="3:5" outlineLevel="1">
      <c r="C302" s="4"/>
      <c r="D302" s="16" t="s">
        <v>68</v>
      </c>
      <c r="E302" s="4">
        <f>SUMIF(D30:D48,"Monlaquelleh Town",(F30:F48))</f>
        <v>0</v>
      </c>
    </row>
    <row r="303" spans="3:5" outlineLevel="1">
      <c r="C303" s="4"/>
      <c r="D303" s="16" t="s">
        <v>361</v>
      </c>
      <c r="E303" s="4">
        <f>SUMIF(D30:D48,"Bellekpama Town (Bellekpamu)",(F30:F48))</f>
        <v>0</v>
      </c>
    </row>
    <row r="304" spans="3:5" outlineLevel="1">
      <c r="C304" s="4"/>
      <c r="D304" s="102" t="s">
        <v>72</v>
      </c>
      <c r="E304" s="4">
        <f>SUMIF(D30:D48,"Zuoi",(F30:F48))</f>
        <v>0</v>
      </c>
    </row>
    <row r="305" spans="3:5" outlineLevel="1">
      <c r="C305" s="165" t="s">
        <v>364</v>
      </c>
      <c r="D305" s="166"/>
      <c r="E305" s="14">
        <f>SUM(E287:E304)</f>
        <v>0</v>
      </c>
    </row>
    <row r="306" spans="3:5" outlineLevel="1">
      <c r="C306" s="162" t="s">
        <v>365</v>
      </c>
      <c r="D306" s="163"/>
      <c r="E306" s="164"/>
    </row>
    <row r="307" spans="3:5" outlineLevel="1">
      <c r="C307" s="4"/>
      <c r="D307" s="16" t="s">
        <v>87</v>
      </c>
      <c r="E307" s="4">
        <f>E308</f>
        <v>0</v>
      </c>
    </row>
    <row r="308" spans="3:5" outlineLevel="1">
      <c r="C308" s="4"/>
      <c r="D308" s="16" t="s">
        <v>88</v>
      </c>
      <c r="E308" s="4">
        <f>SUMIF(D50:D56,"Pallapoe",(F50:F56))</f>
        <v>0</v>
      </c>
    </row>
    <row r="309" spans="3:5" outlineLevel="1">
      <c r="C309" s="4"/>
      <c r="D309" s="16" t="s">
        <v>89</v>
      </c>
      <c r="E309" s="4">
        <f>SUMIF(D50:D56,"Civil Compound",(F50:F56))</f>
        <v>0</v>
      </c>
    </row>
    <row r="310" spans="3:5" outlineLevel="1">
      <c r="C310" s="4"/>
      <c r="D310" s="16" t="s">
        <v>90</v>
      </c>
      <c r="E310" s="4">
        <f>SUMIF(D50:D56,"Kpue Town",(F50:F56))</f>
        <v>0</v>
      </c>
    </row>
    <row r="311" spans="3:5" outlineLevel="1">
      <c r="C311" s="4"/>
      <c r="D311" s="16" t="s">
        <v>91</v>
      </c>
      <c r="E311" s="4">
        <f>SUMIF(D50:D56,"Yorcee Town",(F50:F56))</f>
        <v>0</v>
      </c>
    </row>
    <row r="312" spans="3:5">
      <c r="C312" s="4"/>
      <c r="D312" s="16" t="s">
        <v>92</v>
      </c>
      <c r="E312" s="4">
        <f>SUMIF(D50:D56,"Ben Town",(F50:F56))</f>
        <v>0</v>
      </c>
    </row>
    <row r="313" spans="3:5" hidden="1" outlineLevel="1">
      <c r="C313" s="4"/>
      <c r="D313" s="16" t="s">
        <v>93</v>
      </c>
      <c r="E313" s="4">
        <f>SUMIF(D50:D56,"Bahn Town",(F50:F56))</f>
        <v>0</v>
      </c>
    </row>
    <row r="314" spans="3:5" hidden="1" outlineLevel="1">
      <c r="C314" s="165" t="s">
        <v>364</v>
      </c>
      <c r="D314" s="166"/>
      <c r="E314" s="14">
        <f>SUM(E307:E313)</f>
        <v>0</v>
      </c>
    </row>
    <row r="315" spans="3:5" hidden="1" outlineLevel="1">
      <c r="C315" s="162" t="s">
        <v>11</v>
      </c>
      <c r="D315" s="163"/>
      <c r="E315" s="164"/>
    </row>
    <row r="316" spans="3:5" hidden="1" outlineLevel="1">
      <c r="C316" s="4"/>
      <c r="D316" s="16" t="s">
        <v>97</v>
      </c>
      <c r="E316" s="4">
        <f>E317</f>
        <v>0</v>
      </c>
    </row>
    <row r="317" spans="3:5" hidden="1" outlineLevel="1">
      <c r="C317" s="4"/>
      <c r="D317" s="16" t="s">
        <v>98</v>
      </c>
      <c r="E317" s="4">
        <f>SUMIF(D58:D82,"Zwanii #1",(F58:F82))</f>
        <v>0</v>
      </c>
    </row>
    <row r="318" spans="3:5" hidden="1" outlineLevel="1">
      <c r="C318" s="4"/>
      <c r="D318" s="16" t="s">
        <v>99</v>
      </c>
      <c r="E318" s="4">
        <f>SUMIF(D58:D82,"Gbesseh",(F58:F82))</f>
        <v>0</v>
      </c>
    </row>
    <row r="319" spans="3:5" hidden="1" outlineLevel="1">
      <c r="C319" s="4"/>
      <c r="D319" s="16" t="s">
        <v>100</v>
      </c>
      <c r="E319" s="4">
        <f>SUMIF(D58:D82,"Tewor Mendimassa",(F58:F82))</f>
        <v>0</v>
      </c>
    </row>
    <row r="320" spans="3:5" hidden="1" outlineLevel="1">
      <c r="C320" s="4"/>
      <c r="D320" s="16" t="s">
        <v>101</v>
      </c>
      <c r="E320" s="4">
        <f>SUMIF(D58:D82,"Ngojah",(F58:F82))</f>
        <v>0</v>
      </c>
    </row>
    <row r="321" spans="3:5" hidden="1" outlineLevel="1">
      <c r="C321" s="4"/>
      <c r="D321" s="16" t="s">
        <v>102</v>
      </c>
      <c r="E321" s="4">
        <f>SUMIF(D58:D82,"Victoria Village",(F58:F82))</f>
        <v>0</v>
      </c>
    </row>
    <row r="322" spans="3:5" hidden="1" outlineLevel="1">
      <c r="C322" s="4"/>
      <c r="D322" s="16" t="s">
        <v>103</v>
      </c>
      <c r="E322" s="4">
        <f>SUMIF(D58:D82,"Diah",(F58:F82))</f>
        <v>0</v>
      </c>
    </row>
    <row r="323" spans="3:5" collapsed="1">
      <c r="C323" s="4"/>
      <c r="D323" s="16" t="s">
        <v>104</v>
      </c>
      <c r="E323" s="4">
        <f>SUMIF(D58:D82,"Sowee",(F58:F82))</f>
        <v>0</v>
      </c>
    </row>
    <row r="324" spans="3:5" outlineLevel="1">
      <c r="C324" s="4"/>
      <c r="D324" s="16" t="s">
        <v>105</v>
      </c>
      <c r="E324" s="4">
        <f>SUMIF(D58:D82,"Jane Wonde",(F58:F82))</f>
        <v>0</v>
      </c>
    </row>
    <row r="325" spans="3:5" outlineLevel="1">
      <c r="C325" s="4"/>
      <c r="D325" s="16" t="s">
        <v>106</v>
      </c>
      <c r="E325" s="4">
        <f>SUMIF(D58:D82,"Tiene",(F58:F82))</f>
        <v>0</v>
      </c>
    </row>
    <row r="326" spans="3:5" outlineLevel="1">
      <c r="C326" s="4"/>
      <c r="D326" s="16" t="s">
        <v>110</v>
      </c>
      <c r="E326" s="4">
        <f>SUMIF(D58:D82,"Mehkor",(F58:F82))</f>
        <v>0</v>
      </c>
    </row>
    <row r="327" spans="3:5" outlineLevel="1">
      <c r="C327" s="4"/>
      <c r="D327" s="16" t="s">
        <v>111</v>
      </c>
      <c r="E327" s="4">
        <f>SUMIF(D58:D82,"Gbaah Forboi",(F58:F82))</f>
        <v>0</v>
      </c>
    </row>
    <row r="328" spans="3:5" outlineLevel="1">
      <c r="C328" s="4"/>
      <c r="D328" s="16" t="s">
        <v>112</v>
      </c>
      <c r="E328" s="4">
        <f>SUMIF(D58:D82,"Singey",(F58:F82))</f>
        <v>0</v>
      </c>
    </row>
    <row r="329" spans="3:5" outlineLevel="1">
      <c r="C329" s="4"/>
      <c r="D329" s="16" t="s">
        <v>113</v>
      </c>
      <c r="E329" s="4">
        <f>SUMIF(D58:D82,"Dassalamu",(F58:F82))</f>
        <v>0</v>
      </c>
    </row>
    <row r="330" spans="3:5" outlineLevel="1">
      <c r="C330" s="4"/>
      <c r="D330" s="16" t="s">
        <v>115</v>
      </c>
      <c r="E330" s="4">
        <f>SUMIF(D58:D82,"Mandoe",(F58:F82))</f>
        <v>0</v>
      </c>
    </row>
    <row r="331" spans="3:5" outlineLevel="1">
      <c r="C331" s="4"/>
      <c r="D331" s="16" t="s">
        <v>117</v>
      </c>
      <c r="E331" s="4">
        <f>SUMIF(D58:D82,"Robertsport",(F58:F82))</f>
        <v>0</v>
      </c>
    </row>
    <row r="332" spans="3:5" outlineLevel="1">
      <c r="C332" s="4"/>
      <c r="D332" s="16" t="s">
        <v>119</v>
      </c>
      <c r="E332" s="4">
        <f>SUMIF(D58:D82,"Lofa Bridge",(F58:F82))</f>
        <v>0</v>
      </c>
    </row>
    <row r="333" spans="3:5" outlineLevel="1">
      <c r="C333" s="4"/>
      <c r="D333" s="16" t="s">
        <v>120</v>
      </c>
      <c r="E333" s="4">
        <f>SUMIF(D58:D82,"Weajue",(F58:F82))</f>
        <v>0</v>
      </c>
    </row>
    <row r="334" spans="3:5" outlineLevel="1">
      <c r="C334" s="4"/>
      <c r="D334" s="16" t="s">
        <v>121</v>
      </c>
      <c r="E334" s="4">
        <f>SUMIF(D58:D82,"Mbaloma",(F58:F82))</f>
        <v>0</v>
      </c>
    </row>
    <row r="335" spans="3:5" outlineLevel="1">
      <c r="C335" s="4"/>
      <c r="D335" s="16" t="s">
        <v>122</v>
      </c>
      <c r="E335" s="4">
        <f>SUMIF(D58:D82,"Mecca",(F58:F82))</f>
        <v>0</v>
      </c>
    </row>
    <row r="336" spans="3:5" outlineLevel="1">
      <c r="C336" s="4"/>
      <c r="D336" s="16" t="s">
        <v>123</v>
      </c>
      <c r="E336" s="4">
        <f>SUMIF(D58:D82,"Larjoh",(F58:F82))</f>
        <v>0</v>
      </c>
    </row>
    <row r="337" spans="3:5">
      <c r="C337" s="4"/>
      <c r="D337" s="16" t="s">
        <v>125</v>
      </c>
      <c r="E337" s="4">
        <f>SUMIF(D58:D82,"Mano River",(F58:F82))</f>
        <v>0</v>
      </c>
    </row>
    <row r="338" spans="3:5" ht="18" customHeight="1" outlineLevel="1">
      <c r="C338" s="4"/>
      <c r="D338" s="16" t="s">
        <v>126</v>
      </c>
      <c r="E338" s="4">
        <f>SUMIF(D58:D82,"Camp Israel",(F58:F82))</f>
        <v>0</v>
      </c>
    </row>
    <row r="339" spans="3:5" ht="18" customHeight="1" outlineLevel="1">
      <c r="C339" s="4"/>
      <c r="D339" s="16" t="s">
        <v>127</v>
      </c>
      <c r="E339" s="4">
        <f>SUMIF(D58:D82,"Bamballa",(F58:F82))</f>
        <v>0</v>
      </c>
    </row>
    <row r="340" spans="3:5" ht="18" customHeight="1" outlineLevel="1">
      <c r="C340" s="165" t="s">
        <v>364</v>
      </c>
      <c r="D340" s="166"/>
      <c r="E340" s="14">
        <f>SUM(E316:E339)</f>
        <v>0</v>
      </c>
    </row>
    <row r="341" spans="3:5" ht="18" customHeight="1" outlineLevel="1">
      <c r="C341" s="162" t="s">
        <v>12</v>
      </c>
      <c r="D341" s="163"/>
      <c r="E341" s="164"/>
    </row>
    <row r="342" spans="3:5" ht="18" customHeight="1" outlineLevel="1">
      <c r="C342" s="4"/>
      <c r="D342" s="16" t="s">
        <v>129</v>
      </c>
      <c r="E342" s="4">
        <f>SUMIF(D84:D93,"Taybue",(F84:F93))</f>
        <v>13</v>
      </c>
    </row>
    <row r="343" spans="3:5" ht="18" customHeight="1" outlineLevel="1">
      <c r="C343" s="4"/>
      <c r="D343" s="16" t="s">
        <v>131</v>
      </c>
      <c r="E343" s="4">
        <f>SUMIF(D84:D93,"Blebo",(F84:F93))</f>
        <v>0</v>
      </c>
    </row>
    <row r="344" spans="3:5" ht="18" customHeight="1" outlineLevel="1">
      <c r="C344" s="4"/>
      <c r="D344" s="16" t="s">
        <v>133</v>
      </c>
      <c r="E344" s="4">
        <f>SUMIF(D84:D93,"Wropluken",(F84:F93))</f>
        <v>15</v>
      </c>
    </row>
    <row r="345" spans="3:5" ht="18" customHeight="1" outlineLevel="1">
      <c r="C345" s="4"/>
      <c r="D345" s="16"/>
      <c r="E345" s="4">
        <f>SUMIF(D84:D93,"",(F84:F93))</f>
        <v>10</v>
      </c>
    </row>
    <row r="346" spans="3:5" ht="18" customHeight="1" outlineLevel="1">
      <c r="C346" s="4"/>
      <c r="D346" s="16"/>
      <c r="E346" s="4">
        <f>SUMIF(D84:D93,"",(F84:F93))</f>
        <v>10</v>
      </c>
    </row>
    <row r="347" spans="3:5" ht="18" customHeight="1" outlineLevel="1">
      <c r="C347" s="4"/>
      <c r="D347" s="16" t="s">
        <v>138</v>
      </c>
      <c r="E347" s="4">
        <f>SUMIF(D84:D93,"Dior",(F84:F93))</f>
        <v>35</v>
      </c>
    </row>
    <row r="348" spans="3:5" ht="18" customHeight="1" outlineLevel="1">
      <c r="C348" s="4"/>
      <c r="D348" s="16" t="s">
        <v>140</v>
      </c>
      <c r="E348" s="4">
        <f>SUMIF(D84:D93,"Sogbeh-Bo",(F84:F93))</f>
        <v>45</v>
      </c>
    </row>
    <row r="349" spans="3:5" ht="18" customHeight="1" outlineLevel="1">
      <c r="C349" s="4"/>
      <c r="D349" s="16" t="s">
        <v>141</v>
      </c>
      <c r="E349" s="4">
        <f>SUMIF(D84:D93,"Barclaville",(F84:F93))</f>
        <v>5</v>
      </c>
    </row>
    <row r="350" spans="3:5" ht="18" customHeight="1" outlineLevel="1">
      <c r="C350" s="4"/>
      <c r="D350" s="16" t="s">
        <v>142</v>
      </c>
      <c r="E350" s="4">
        <f>SUMIF(D84:D93,"Sasstown Beach",(F84:F93))</f>
        <v>0</v>
      </c>
    </row>
    <row r="351" spans="3:5" ht="18" customHeight="1" outlineLevel="1">
      <c r="C351" s="165" t="s">
        <v>366</v>
      </c>
      <c r="D351" s="166"/>
      <c r="E351" s="14">
        <f>SUM(E342:E350)</f>
        <v>133</v>
      </c>
    </row>
    <row r="352" spans="3:5" ht="18" customHeight="1" outlineLevel="1">
      <c r="C352" s="162" t="s">
        <v>367</v>
      </c>
      <c r="D352" s="163"/>
      <c r="E352" s="164"/>
    </row>
    <row r="353" spans="3:5" ht="18" customHeight="1" outlineLevel="1">
      <c r="C353" s="4"/>
      <c r="D353" s="16" t="s">
        <v>144</v>
      </c>
      <c r="E353" s="4">
        <f>E354</f>
        <v>0</v>
      </c>
    </row>
    <row r="354" spans="3:5" ht="18" customHeight="1" outlineLevel="1">
      <c r="C354" s="4"/>
      <c r="D354" s="16" t="s">
        <v>145</v>
      </c>
      <c r="E354" s="4">
        <f>SUMIF(D95:D106,"Pouh Town",(F95:F106))</f>
        <v>0</v>
      </c>
    </row>
    <row r="355" spans="3:5" ht="18" customHeight="1" outlineLevel="1">
      <c r="C355" s="4"/>
      <c r="D355" s="16" t="s">
        <v>146</v>
      </c>
      <c r="E355" s="4">
        <f>SUMIF(D95:D106,"Gorluway",(F95:F106))</f>
        <v>0</v>
      </c>
    </row>
    <row r="356" spans="3:5" ht="18" customHeight="1" outlineLevel="1">
      <c r="C356" s="4"/>
      <c r="D356" s="16" t="s">
        <v>147</v>
      </c>
      <c r="E356" s="4">
        <f>SUMIF(D95:D106,"Barh Town",(F95:F106))</f>
        <v>0</v>
      </c>
    </row>
    <row r="357" spans="3:5" ht="18" customHeight="1" outlineLevel="1">
      <c r="C357" s="4"/>
      <c r="D357" s="16" t="s">
        <v>149</v>
      </c>
      <c r="E357" s="4">
        <f>SUMIF(D95:D106,"Boundary Town",(F95:F106))</f>
        <v>0</v>
      </c>
    </row>
    <row r="358" spans="3:5" ht="18" customHeight="1" outlineLevel="1">
      <c r="C358" s="4"/>
      <c r="D358" s="16" t="s">
        <v>150</v>
      </c>
      <c r="E358" s="4">
        <f>SUMIF(D95:D106,"Gboluo Town",(F95:F106))</f>
        <v>0</v>
      </c>
    </row>
    <row r="359" spans="3:5" ht="18" customHeight="1" outlineLevel="1">
      <c r="C359" s="4"/>
      <c r="D359" s="16" t="s">
        <v>151</v>
      </c>
      <c r="E359" s="4">
        <f>SUMIF(D95:D106,"Konobo Ziah Town",(F95:F106))</f>
        <v>0</v>
      </c>
    </row>
    <row r="360" spans="3:5" ht="18" customHeight="1" outlineLevel="1">
      <c r="C360" s="4"/>
      <c r="D360" s="16" t="s">
        <v>152</v>
      </c>
      <c r="E360" s="4">
        <f>SUMIF(D95:D106,"Walbo Town",(F95:F106))</f>
        <v>0</v>
      </c>
    </row>
    <row r="361" spans="3:5" ht="18" customHeight="1" outlineLevel="1">
      <c r="C361" s="4"/>
      <c r="D361" s="17" t="s">
        <v>154</v>
      </c>
      <c r="E361" s="4">
        <f>SUMIF(D95:D106,"Tubman Palace-Zwedru",(F95:F106))</f>
        <v>0</v>
      </c>
    </row>
    <row r="362" spans="3:5" ht="18" customHeight="1" outlineLevel="1">
      <c r="C362" s="4"/>
      <c r="D362" s="16" t="s">
        <v>155</v>
      </c>
      <c r="E362" s="4">
        <f>SUMIF(D95:D106,"Bargblor Town",(F95:F106))</f>
        <v>0</v>
      </c>
    </row>
    <row r="363" spans="3:5" ht="18" customHeight="1" outlineLevel="1">
      <c r="C363" s="4"/>
      <c r="D363" s="16" t="s">
        <v>156</v>
      </c>
      <c r="E363" s="4">
        <f>SUMIF(D95:D106,"Kumah Town",(F95:F106))</f>
        <v>0</v>
      </c>
    </row>
    <row r="364" spans="3:5" ht="18" customHeight="1" outlineLevel="1">
      <c r="C364" s="4"/>
      <c r="D364" s="16" t="s">
        <v>157</v>
      </c>
      <c r="E364" s="4">
        <f>SUMIF(D95:D106,"Zaybay Town",(F95:F106))</f>
        <v>0</v>
      </c>
    </row>
    <row r="365" spans="3:5" ht="18" customHeight="1" outlineLevel="1">
      <c r="C365" s="165" t="s">
        <v>366</v>
      </c>
      <c r="D365" s="166"/>
      <c r="E365" s="14">
        <f>SUM(E353:E364)</f>
        <v>0</v>
      </c>
    </row>
    <row r="366" spans="3:5" ht="18" customHeight="1" outlineLevel="1">
      <c r="C366" s="162" t="s">
        <v>368</v>
      </c>
      <c r="D366" s="163"/>
      <c r="E366" s="164"/>
    </row>
    <row r="367" spans="3:5" ht="18" customHeight="1" outlineLevel="1">
      <c r="C367" s="4"/>
      <c r="D367" s="16" t="s">
        <v>159</v>
      </c>
      <c r="E367" s="4">
        <f>SUMIF(D108:D144,"Danenama",(F108:F144))</f>
        <v>213</v>
      </c>
    </row>
    <row r="368" spans="3:5" ht="18" customHeight="1" outlineLevel="1">
      <c r="C368" s="4"/>
      <c r="D368" s="16" t="s">
        <v>160</v>
      </c>
      <c r="E368" s="4">
        <f>SUMIF(D108:D144,"Passama",(F108:F144))</f>
        <v>112</v>
      </c>
    </row>
    <row r="369" spans="3:5" ht="18" customHeight="1" outlineLevel="1">
      <c r="C369" s="4"/>
      <c r="D369" s="16" t="s">
        <v>163</v>
      </c>
      <c r="E369" s="4">
        <f>SUMIF(D108:D144,"Yeala",(F108:F144))</f>
        <v>86</v>
      </c>
    </row>
    <row r="370" spans="3:5" outlineLevel="1">
      <c r="C370" s="4"/>
      <c r="D370" s="16" t="s">
        <v>165</v>
      </c>
      <c r="E370" s="4">
        <f>SUMIF(D108:D144,"Worzi",(F108:F144))</f>
        <v>75</v>
      </c>
    </row>
    <row r="371" spans="3:5">
      <c r="C371" s="4"/>
      <c r="D371" s="16" t="s">
        <v>166</v>
      </c>
      <c r="E371" s="4">
        <f>SUMIF(D108:D144,"Balagwalazu",(F108:F144))</f>
        <v>100</v>
      </c>
    </row>
    <row r="372" spans="3:5" ht="18" customHeight="1" outlineLevel="1">
      <c r="C372" s="4"/>
      <c r="D372" s="16" t="s">
        <v>169</v>
      </c>
      <c r="E372" s="4">
        <f>SUMIF(D108:D144,"Bakedu",(F108:F144))</f>
        <v>387</v>
      </c>
    </row>
    <row r="373" spans="3:5" ht="18" customHeight="1" outlineLevel="1">
      <c r="C373" s="4"/>
      <c r="D373" s="16" t="s">
        <v>171</v>
      </c>
      <c r="E373" s="4">
        <f>SUMIF(D108:D144,"Kuruka",(F108:F144))</f>
        <v>27</v>
      </c>
    </row>
    <row r="374" spans="3:5" ht="18" customHeight="1" outlineLevel="1">
      <c r="C374" s="4"/>
      <c r="D374" s="16" t="s">
        <v>172</v>
      </c>
      <c r="E374" s="4">
        <f>SUMIF(D108:D144,"Selega",(F108:F144))</f>
        <v>47</v>
      </c>
    </row>
    <row r="375" spans="3:5" ht="18" customHeight="1" outlineLevel="1">
      <c r="C375" s="4"/>
      <c r="D375" s="16" t="s">
        <v>173</v>
      </c>
      <c r="E375" s="4">
        <f>SUMIF(D108:D144,"Malamai",(F108:F144))</f>
        <v>142</v>
      </c>
    </row>
    <row r="376" spans="3:5" ht="18" customHeight="1" outlineLevel="1">
      <c r="C376" s="4"/>
      <c r="D376" s="16" t="s">
        <v>174</v>
      </c>
      <c r="E376" s="4">
        <f>SUMIF(D108:D144,"Tenebu",(F108:F144))</f>
        <v>86</v>
      </c>
    </row>
    <row r="377" spans="3:5" ht="18" customHeight="1" outlineLevel="1">
      <c r="C377" s="4"/>
      <c r="D377" s="16" t="s">
        <v>175</v>
      </c>
      <c r="E377" s="4">
        <f>SUMIF(D108:D144,"Lawalazu",(F108:F144))</f>
        <v>55</v>
      </c>
    </row>
    <row r="378" spans="3:5" ht="18" customHeight="1" outlineLevel="1">
      <c r="C378" s="4"/>
      <c r="D378" s="16" t="s">
        <v>176</v>
      </c>
      <c r="E378" s="4">
        <f>SUMIF(D108:D144,"Jallamai",(F108:F144))</f>
        <v>47</v>
      </c>
    </row>
    <row r="379" spans="3:5" ht="18" customHeight="1" outlineLevel="1">
      <c r="C379" s="4"/>
      <c r="D379" s="16" t="s">
        <v>177</v>
      </c>
      <c r="E379" s="4">
        <f>SUMIF(D108:D144,"Kpotomai",(F108:F144))</f>
        <v>40</v>
      </c>
    </row>
    <row r="380" spans="3:5" ht="18" customHeight="1" outlineLevel="1">
      <c r="C380" s="4"/>
      <c r="D380" s="16" t="s">
        <v>178</v>
      </c>
      <c r="E380" s="4">
        <f>SUMIF(D108:D144,"Zowodami",(F108:F144))</f>
        <v>37</v>
      </c>
    </row>
    <row r="381" spans="3:5" ht="18" customHeight="1" outlineLevel="1">
      <c r="C381" s="4"/>
      <c r="D381" s="16" t="s">
        <v>179</v>
      </c>
      <c r="E381" s="4">
        <f>SUMIF(D108:D144,"Kpankpalamai",(F108:F144))</f>
        <v>11</v>
      </c>
    </row>
    <row r="382" spans="3:5" ht="18" customHeight="1" outlineLevel="1">
      <c r="C382" s="4"/>
      <c r="D382" s="16" t="s">
        <v>180</v>
      </c>
      <c r="E382" s="4">
        <f>SUMIF(D108:D144,"Vezela",(F108:F144))</f>
        <v>25</v>
      </c>
    </row>
    <row r="383" spans="3:5" ht="18" customHeight="1" outlineLevel="1">
      <c r="C383" s="4"/>
      <c r="D383" s="16" t="s">
        <v>181</v>
      </c>
      <c r="E383" s="4">
        <f>SUMIF(D108:D144,"Kpakumai",(F108:F144))</f>
        <v>20</v>
      </c>
    </row>
    <row r="384" spans="3:5">
      <c r="C384" s="4"/>
      <c r="D384" s="16" t="s">
        <v>182</v>
      </c>
      <c r="E384" s="4">
        <f>SUMIF(D108:D144,"Jaryamai",(F108:F144))</f>
        <v>60</v>
      </c>
    </row>
    <row r="385" spans="3:5" outlineLevel="1">
      <c r="C385" s="4"/>
      <c r="D385" s="16" t="s">
        <v>183</v>
      </c>
      <c r="E385" s="4">
        <f>SUMIF(D108:D144,"Nekebuzu",(F108:F144))</f>
        <v>27</v>
      </c>
    </row>
    <row r="386" spans="3:5" ht="17" outlineLevel="1">
      <c r="C386" s="4"/>
      <c r="D386" s="17" t="s">
        <v>184</v>
      </c>
      <c r="E386" s="4">
        <f>SUMIF(D108:D144,"Voimjama City (Black Monday)",(F108:F144))</f>
        <v>750</v>
      </c>
    </row>
    <row r="387" spans="3:5" outlineLevel="1">
      <c r="C387" s="4"/>
      <c r="D387" s="16" t="s">
        <v>187</v>
      </c>
      <c r="E387" s="4">
        <f>SUMIF(D108:D144,"Kolba City",(F108:F144))</f>
        <v>550</v>
      </c>
    </row>
    <row r="388" spans="3:5" outlineLevel="1">
      <c r="C388" s="4"/>
      <c r="D388" s="16" t="s">
        <v>188</v>
      </c>
      <c r="E388" s="4">
        <f>SUMIF(D108:D144,"Kailahum City",(F108:F144))</f>
        <v>0</v>
      </c>
    </row>
    <row r="389" spans="3:5" outlineLevel="1">
      <c r="C389" s="4"/>
      <c r="D389" s="16" t="s">
        <v>189</v>
      </c>
      <c r="E389" s="4">
        <f>SUMIF(D108:D144,"Yandihum",(F108:F144))</f>
        <v>100</v>
      </c>
    </row>
    <row r="390" spans="3:5" outlineLevel="1">
      <c r="C390" s="4"/>
      <c r="D390" s="16" t="s">
        <v>190</v>
      </c>
      <c r="E390" s="4">
        <f>SUMIF(D108:D144,"Populahun",(F108:F144))</f>
        <v>100</v>
      </c>
    </row>
    <row r="391" spans="3:5" outlineLevel="1">
      <c r="C391" s="4"/>
      <c r="D391" s="16" t="s">
        <v>191</v>
      </c>
      <c r="E391" s="4">
        <f>SUMIF(D108:D144,"Fangonda",(F108:F144))</f>
        <v>36</v>
      </c>
    </row>
    <row r="392" spans="3:5" outlineLevel="1">
      <c r="C392" s="4"/>
      <c r="D392" s="16" t="s">
        <v>192</v>
      </c>
      <c r="E392" s="4">
        <f>SUMIF(D108:D144,"Kamatahun",(F108:F144))</f>
        <v>147</v>
      </c>
    </row>
    <row r="393" spans="3:5">
      <c r="C393" s="4"/>
      <c r="D393" s="16" t="s">
        <v>193</v>
      </c>
      <c r="E393" s="4">
        <f>SUMIF(D108:D144,"Kambolahun",(F108:F144))</f>
        <v>300</v>
      </c>
    </row>
    <row r="394" spans="3:5" ht="18" customHeight="1" outlineLevel="1">
      <c r="C394" s="4"/>
      <c r="D394" s="16" t="s">
        <v>194</v>
      </c>
      <c r="E394" s="4">
        <f>SUMIF(D108:D144,"Foya City",(F108:F144))</f>
        <v>45</v>
      </c>
    </row>
    <row r="395" spans="3:5" ht="18" customHeight="1" outlineLevel="1">
      <c r="C395" s="4"/>
      <c r="D395" s="16" t="s">
        <v>195</v>
      </c>
      <c r="E395" s="4">
        <f>SUMIF(D108:D144,"Nigesakonja",(F108:F144))</f>
        <v>27</v>
      </c>
    </row>
    <row r="396" spans="3:5" ht="18" customHeight="1" outlineLevel="1">
      <c r="C396" s="4"/>
      <c r="D396" s="16" t="s">
        <v>197</v>
      </c>
      <c r="E396" s="4">
        <f>SUMIF(D108:D144,"Folima",(F108:F144))</f>
        <v>130</v>
      </c>
    </row>
    <row r="397" spans="3:5" ht="18" customHeight="1" outlineLevel="1">
      <c r="C397" s="4"/>
      <c r="D397" s="16" t="s">
        <v>198</v>
      </c>
      <c r="E397" s="4">
        <f>SUMIF(D108:D144,"Gbondomai",(F108:F144))</f>
        <v>207</v>
      </c>
    </row>
    <row r="398" spans="3:5" ht="18" customHeight="1" outlineLevel="1">
      <c r="C398" s="4"/>
      <c r="D398" s="16" t="s">
        <v>199</v>
      </c>
      <c r="E398" s="4">
        <f>SUMIF(D108:D144,"Gogoma",(F108:F144))</f>
        <v>150</v>
      </c>
    </row>
    <row r="399" spans="3:5" ht="18" customHeight="1" outlineLevel="1">
      <c r="C399" s="165" t="s">
        <v>366</v>
      </c>
      <c r="D399" s="166"/>
      <c r="E399" s="14">
        <f>SUM(E367:E398)</f>
        <v>4139</v>
      </c>
    </row>
    <row r="400" spans="3:5" ht="18" customHeight="1" outlineLevel="1">
      <c r="C400" s="162" t="s">
        <v>15</v>
      </c>
      <c r="D400" s="163"/>
      <c r="E400" s="164"/>
    </row>
    <row r="401" spans="3:5" ht="18" customHeight="1" outlineLevel="1">
      <c r="C401" s="4"/>
      <c r="D401" s="16" t="s">
        <v>202</v>
      </c>
      <c r="E401" s="4">
        <f>E402</f>
        <v>0</v>
      </c>
    </row>
    <row r="402" spans="3:5" ht="18" customHeight="1" outlineLevel="1">
      <c r="C402" s="4"/>
      <c r="D402" s="17" t="s">
        <v>204</v>
      </c>
      <c r="E402" s="4">
        <f>SUMIF(D146:D165,"Barclay Training Center",(F146:F165))</f>
        <v>0</v>
      </c>
    </row>
    <row r="403" spans="3:5" ht="18" customHeight="1">
      <c r="C403" s="4"/>
      <c r="D403" s="17" t="s">
        <v>206</v>
      </c>
      <c r="E403" s="4">
        <f>SUMIF(D146:D165,"Lutheran Church -14th Street Sinkor",(F146:F165))</f>
        <v>0</v>
      </c>
    </row>
    <row r="404" spans="3:5" ht="18" customHeight="1" outlineLevel="1">
      <c r="C404" s="4"/>
      <c r="D404" s="17" t="s">
        <v>207</v>
      </c>
      <c r="E404" s="4">
        <f>SUMIF(D146:D165,"Duport Road Waterside",(F146:F165))</f>
        <v>0</v>
      </c>
    </row>
    <row r="405" spans="3:5" ht="18" customHeight="1" outlineLevel="1">
      <c r="C405" s="4"/>
      <c r="D405" s="17" t="s">
        <v>208</v>
      </c>
      <c r="E405" s="4">
        <f>SUMIF(D146:D165,"Duport Road Cow Field",(F146:F165))</f>
        <v>0</v>
      </c>
    </row>
    <row r="406" spans="3:5" ht="18" customHeight="1" outlineLevel="1">
      <c r="C406" s="4"/>
      <c r="D406" s="16" t="s">
        <v>210</v>
      </c>
      <c r="E406" s="4">
        <f>SUMIF(D146:D165,"Fendell Campus",(F146:F165))</f>
        <v>0</v>
      </c>
    </row>
    <row r="407" spans="3:5" ht="18" customHeight="1" outlineLevel="1">
      <c r="C407" s="4"/>
      <c r="D407" s="17" t="s">
        <v>211</v>
      </c>
      <c r="E407" s="4">
        <f>SUMIF(D146:D165,"Grey Stone-Mamba Point",(F146:F165))</f>
        <v>0</v>
      </c>
    </row>
    <row r="408" spans="3:5" ht="18" customHeight="1" outlineLevel="1">
      <c r="C408" s="4"/>
      <c r="D408" s="16" t="s">
        <v>212</v>
      </c>
      <c r="E408" s="4">
        <f>SUMIF(D146:D165,"ELWA Compound",(F146:F165))</f>
        <v>0</v>
      </c>
    </row>
    <row r="409" spans="3:5" ht="18" customHeight="1" outlineLevel="1">
      <c r="C409" s="4"/>
      <c r="D409" s="16" t="s">
        <v>213</v>
      </c>
      <c r="E409" s="4">
        <f>SUMIF(D146:D165,"ETMI- Caldwell",(F146:F165))</f>
        <v>0</v>
      </c>
    </row>
    <row r="410" spans="3:5" ht="18" customHeight="1" outlineLevel="1">
      <c r="C410" s="4"/>
      <c r="D410" s="16" t="s">
        <v>215</v>
      </c>
      <c r="E410" s="4">
        <f>SUMIF(D146:D165,"Palm Grove Cemetry",(F146:F165))</f>
        <v>0</v>
      </c>
    </row>
    <row r="411" spans="3:5" ht="18" customHeight="1" outlineLevel="1">
      <c r="C411" s="4"/>
      <c r="D411" s="17" t="s">
        <v>311</v>
      </c>
      <c r="E411" s="4">
        <f>SUMIF(D146:D165,"Barnervilles--Catholic Nuns Compound",(F146:F165))</f>
        <v>0</v>
      </c>
    </row>
    <row r="412" spans="3:5">
      <c r="C412" s="165" t="s">
        <v>366</v>
      </c>
      <c r="D412" s="166"/>
      <c r="E412" s="14">
        <f>SUM(E401:E411)</f>
        <v>0</v>
      </c>
    </row>
    <row r="413" spans="3:5" outlineLevel="1">
      <c r="C413" s="162" t="s">
        <v>16</v>
      </c>
      <c r="D413" s="163"/>
      <c r="E413" s="164"/>
    </row>
    <row r="414" spans="3:5" outlineLevel="1">
      <c r="C414" s="4"/>
      <c r="D414" s="15" t="s">
        <v>218</v>
      </c>
      <c r="E414" s="4">
        <f>SUMIF(D167:D173,"Camp Two, Harbel",(F167:F173))</f>
        <v>0</v>
      </c>
    </row>
    <row r="415" spans="3:5" outlineLevel="1">
      <c r="C415" s="4"/>
      <c r="D415" s="16" t="s">
        <v>219</v>
      </c>
      <c r="E415" s="4"/>
    </row>
    <row r="416" spans="3:5" outlineLevel="1">
      <c r="C416" s="4"/>
      <c r="D416" s="15" t="s">
        <v>220</v>
      </c>
      <c r="E416" s="4"/>
    </row>
    <row r="417" spans="3:5" ht="17" outlineLevel="1">
      <c r="C417" s="4"/>
      <c r="D417" s="17" t="s">
        <v>221</v>
      </c>
      <c r="E417" s="4"/>
    </row>
    <row r="418" spans="3:5" ht="34" outlineLevel="1">
      <c r="C418" s="4"/>
      <c r="D418" s="18" t="s">
        <v>222</v>
      </c>
      <c r="E418" s="4"/>
    </row>
    <row r="419" spans="3:5" outlineLevel="1">
      <c r="C419" s="4"/>
      <c r="D419" s="16" t="s">
        <v>223</v>
      </c>
      <c r="E419" s="4"/>
    </row>
    <row r="420" spans="3:5" outlineLevel="1">
      <c r="C420" s="4"/>
      <c r="D420" s="15" t="s">
        <v>224</v>
      </c>
      <c r="E420" s="4"/>
    </row>
    <row r="421" spans="3:5" outlineLevel="1">
      <c r="C421" s="165" t="s">
        <v>366</v>
      </c>
      <c r="D421" s="166"/>
      <c r="E421" s="4"/>
    </row>
    <row r="422" spans="3:5" outlineLevel="1">
      <c r="C422" s="162" t="s">
        <v>369</v>
      </c>
      <c r="D422" s="163"/>
      <c r="E422" s="164"/>
    </row>
    <row r="423" spans="3:5" outlineLevel="1">
      <c r="C423" s="4"/>
      <c r="D423" s="16" t="s">
        <v>229</v>
      </c>
      <c r="E423" s="4">
        <f>SUMIF(D176:D186,"Cavalla Massacres",(F176:F186))</f>
        <v>0</v>
      </c>
    </row>
    <row r="424" spans="3:5" outlineLevel="1">
      <c r="C424" s="4"/>
      <c r="D424" s="16" t="s">
        <v>230</v>
      </c>
      <c r="E424" s="4">
        <f>SUMIF(D176:D186,"Fish Town Massacre",(F176:F186))</f>
        <v>0</v>
      </c>
    </row>
    <row r="425" spans="3:5" ht="17" outlineLevel="1">
      <c r="C425" s="4"/>
      <c r="D425" s="17" t="s">
        <v>231</v>
      </c>
      <c r="E425" s="4">
        <f>SUMIF(D176:D186,"Ferguson Campus Massacre",(F176:F186))</f>
        <v>0</v>
      </c>
    </row>
    <row r="426" spans="3:5" ht="17" outlineLevel="1">
      <c r="C426" s="4"/>
      <c r="D426" s="17" t="s">
        <v>232</v>
      </c>
      <c r="E426" s="4">
        <f>SUMIF(D176:D186,"Massacre",(F176:F186))</f>
        <v>0</v>
      </c>
    </row>
    <row r="427" spans="3:5" outlineLevel="1">
      <c r="C427" s="4"/>
      <c r="D427" s="16" t="s">
        <v>234</v>
      </c>
      <c r="E427" s="4">
        <f>SUMIF(D176:D186,"Pedebo Massacre",(F176:F186))</f>
        <v>0</v>
      </c>
    </row>
    <row r="428" spans="3:5" outlineLevel="1">
      <c r="C428" s="4"/>
      <c r="D428" s="16" t="s">
        <v>237</v>
      </c>
      <c r="E428" s="4">
        <f>SUMIF(D176:D186,"Boniken",(F176:F186))</f>
        <v>0</v>
      </c>
    </row>
    <row r="429" spans="3:5" outlineLevel="1">
      <c r="C429" s="4"/>
      <c r="D429" s="16" t="s">
        <v>238</v>
      </c>
      <c r="E429" s="4">
        <f>SUMIF(D176:D186,"Warteken",(F176:F186))</f>
        <v>0</v>
      </c>
    </row>
    <row r="430" spans="3:5" outlineLevel="1">
      <c r="C430" s="4"/>
      <c r="D430" s="16" t="s">
        <v>239</v>
      </c>
      <c r="E430" s="4">
        <f>SUMIF(D176:D186,"Glofaken (11 sites)",(F176:F186))</f>
        <v>0</v>
      </c>
    </row>
    <row r="431" spans="3:5" outlineLevel="1">
      <c r="C431" s="165" t="s">
        <v>366</v>
      </c>
      <c r="D431" s="166"/>
      <c r="E431" s="14">
        <f>SUM(E423:E430)</f>
        <v>0</v>
      </c>
    </row>
    <row r="432" spans="3:5" outlineLevel="1">
      <c r="C432" s="162" t="s">
        <v>18</v>
      </c>
      <c r="D432" s="163"/>
      <c r="E432" s="164"/>
    </row>
    <row r="433" spans="3:5" ht="17" outlineLevel="1">
      <c r="C433" s="4"/>
      <c r="D433" s="17" t="s">
        <v>240</v>
      </c>
      <c r="E433" s="4">
        <f>SUMIF(D188:D195,"PPF Headquaters/Yekepa",(F188:F195))</f>
        <v>0</v>
      </c>
    </row>
    <row r="434" spans="3:5" outlineLevel="1">
      <c r="C434" s="4"/>
      <c r="D434" s="16" t="s">
        <v>241</v>
      </c>
      <c r="E434" s="4">
        <f>SUMIF(D188:D195,"Karnplay",(F188:F195))</f>
        <v>0</v>
      </c>
    </row>
    <row r="435" spans="3:5" outlineLevel="1">
      <c r="C435" s="4"/>
      <c r="D435" s="16" t="s">
        <v>242</v>
      </c>
      <c r="E435" s="4">
        <f>SUMIF(D188:D195,"Lutheran church",(F188:F195))</f>
        <v>0</v>
      </c>
    </row>
    <row r="436" spans="3:5" outlineLevel="1">
      <c r="C436" s="4"/>
      <c r="D436" s="16" t="s">
        <v>59</v>
      </c>
      <c r="E436" s="4">
        <f>SUMIF(D188:D195,"Gbarnga Iron Gate",(F188:F195))</f>
        <v>0</v>
      </c>
    </row>
    <row r="437" spans="3:5" ht="34" outlineLevel="1">
      <c r="C437" s="4"/>
      <c r="D437" s="17" t="s">
        <v>243</v>
      </c>
      <c r="E437" s="4">
        <f>SUMIF(D188:D195,"Highway",(F188:F195))</f>
        <v>0</v>
      </c>
    </row>
    <row r="438" spans="3:5" outlineLevel="1">
      <c r="C438" s="4"/>
      <c r="D438" s="16" t="s">
        <v>244</v>
      </c>
      <c r="E438" s="4">
        <f>SUMIF(D188:D195,"CNC",(F188:F195))</f>
        <v>0</v>
      </c>
    </row>
    <row r="439" spans="3:5" outlineLevel="1">
      <c r="C439" s="4"/>
      <c r="D439" s="16" t="s">
        <v>248</v>
      </c>
      <c r="E439" s="4">
        <f>SUMIF(D188:D195,"(Monument/Prince Johnson)",(F188:F195))</f>
        <v>0</v>
      </c>
    </row>
    <row r="440" spans="3:5" outlineLevel="1">
      <c r="C440" s="165" t="s">
        <v>366</v>
      </c>
      <c r="D440" s="166"/>
      <c r="E440" s="14">
        <f>SUM(E433:E439)</f>
        <v>0</v>
      </c>
    </row>
    <row r="441" spans="3:5" outlineLevel="1">
      <c r="C441" s="162" t="s">
        <v>370</v>
      </c>
      <c r="D441" s="163"/>
      <c r="E441" s="164"/>
    </row>
    <row r="442" spans="3:5" outlineLevel="1">
      <c r="C442" s="4"/>
      <c r="D442" s="16" t="s">
        <v>250</v>
      </c>
      <c r="E442" s="4">
        <f>SUMIF(D198:D235,"Poweh",(F198:F235))</f>
        <v>9</v>
      </c>
    </row>
    <row r="443" spans="3:5">
      <c r="C443" s="4"/>
      <c r="D443" s="16" t="s">
        <v>251</v>
      </c>
      <c r="E443" s="4">
        <f>SUMIF(D198:D235,"Doe",(F198:F235))</f>
        <v>10</v>
      </c>
    </row>
    <row r="444" spans="3:5" outlineLevel="1">
      <c r="C444" s="4"/>
      <c r="D444" s="16" t="s">
        <v>252</v>
      </c>
      <c r="E444" s="4">
        <f>SUMIF(D198:D235,"Gbokon/Garade",(F198:F235))</f>
        <v>26</v>
      </c>
    </row>
    <row r="445" spans="3:5" outlineLevel="1">
      <c r="C445" s="4"/>
      <c r="D445" s="16" t="s">
        <v>253</v>
      </c>
      <c r="E445" s="4">
        <f>SUMIF(D198:D235,"ITI",(F198:F235))</f>
        <v>100</v>
      </c>
    </row>
    <row r="446" spans="3:5" outlineLevel="1">
      <c r="C446" s="4"/>
      <c r="D446" s="16" t="s">
        <v>254</v>
      </c>
      <c r="E446" s="4">
        <f>SUMIF(D198:D235,"Krakpo",(F198:F235))</f>
        <v>15</v>
      </c>
    </row>
    <row r="447" spans="3:5" outlineLevel="1">
      <c r="C447" s="4"/>
      <c r="D447" s="16" t="s">
        <v>255</v>
      </c>
      <c r="E447" s="4">
        <f>SUMIF(D198:D235,"Cestos City",(F198:F235))</f>
        <v>6</v>
      </c>
    </row>
    <row r="448" spans="3:5" outlineLevel="1">
      <c r="C448" s="4"/>
      <c r="D448" s="16" t="s">
        <v>256</v>
      </c>
      <c r="E448" s="4">
        <f>SUMIF(D198:D235,"Banwon",(F198:F235))</f>
        <v>120</v>
      </c>
    </row>
    <row r="449" spans="3:5" outlineLevel="1">
      <c r="C449" s="4"/>
      <c r="D449" s="16" t="s">
        <v>257</v>
      </c>
      <c r="E449" s="4">
        <f>SUMIF(D198:D235,"Bloe",(F198:F235))</f>
        <v>560</v>
      </c>
    </row>
    <row r="450" spans="3:5" outlineLevel="1">
      <c r="C450" s="4"/>
      <c r="D450" s="16" t="s">
        <v>258</v>
      </c>
      <c r="E450" s="4">
        <f>SUMIF(D198:D235,"Wrobone",(F198:F235))</f>
        <v>37</v>
      </c>
    </row>
    <row r="451" spans="3:5" outlineLevel="1">
      <c r="C451" s="4"/>
      <c r="D451" s="16" t="s">
        <v>259</v>
      </c>
      <c r="E451" s="4">
        <f>SUMIF(D198:D235,"Seah",(F198:F235))</f>
        <v>7</v>
      </c>
    </row>
    <row r="452" spans="3:5" ht="18" customHeight="1">
      <c r="C452" s="4"/>
      <c r="D452" s="16" t="s">
        <v>260</v>
      </c>
      <c r="E452" s="4">
        <f>SUMIF(D198:D235,"Barkey",(F198:F235))</f>
        <v>75</v>
      </c>
    </row>
    <row r="453" spans="3:5" ht="18" customHeight="1" outlineLevel="1">
      <c r="C453" s="4"/>
      <c r="D453" s="16" t="s">
        <v>261</v>
      </c>
      <c r="E453" s="4">
        <f>SUMIF(D198:D235,"Neezuen",(F198:F235))</f>
        <v>60</v>
      </c>
    </row>
    <row r="454" spans="3:5" ht="18" customHeight="1" outlineLevel="1">
      <c r="C454" s="4"/>
      <c r="D454" s="16" t="s">
        <v>265</v>
      </c>
      <c r="E454" s="4">
        <f>SUMIF(D198:D235,"Saywionwor",(F198:F235))</f>
        <v>24</v>
      </c>
    </row>
    <row r="455" spans="3:5" ht="18" customHeight="1" outlineLevel="1">
      <c r="C455" s="4"/>
      <c r="D455" s="16" t="s">
        <v>266</v>
      </c>
      <c r="E455" s="4">
        <f>SUMIF(D198:D235,"Garpue",(F198:F235))</f>
        <v>12</v>
      </c>
    </row>
    <row r="456" spans="3:5" ht="18" customHeight="1" outlineLevel="1">
      <c r="C456" s="4"/>
      <c r="D456" s="16" t="s">
        <v>267</v>
      </c>
      <c r="E456" s="4">
        <f>SUMIF(D198:D235,"Bodazar",(F198:F235))</f>
        <v>14</v>
      </c>
    </row>
    <row r="457" spans="3:5" ht="18" customHeight="1" outlineLevel="1">
      <c r="C457" s="4"/>
      <c r="D457" s="16" t="s">
        <v>268</v>
      </c>
      <c r="E457" s="4">
        <f>SUMIF(D198:D235,"Zammie",(F198:F235))</f>
        <v>400</v>
      </c>
    </row>
    <row r="458" spans="3:5" ht="18" customHeight="1" outlineLevel="1">
      <c r="C458" s="4"/>
      <c r="D458" s="16" t="s">
        <v>269</v>
      </c>
      <c r="E458" s="4">
        <f>SUMIF(D198:D235,"Gardiah",(F198:F235))</f>
        <v>0</v>
      </c>
    </row>
    <row r="459" spans="3:5" ht="18" customHeight="1" outlineLevel="1">
      <c r="C459" s="4"/>
      <c r="D459" s="16" t="s">
        <v>270</v>
      </c>
      <c r="E459" s="4">
        <f>SUMIF(D198:D235,"Gborwuzohn",(F198:F235))</f>
        <v>128</v>
      </c>
    </row>
    <row r="460" spans="3:5" ht="18" customHeight="1" outlineLevel="1">
      <c r="C460" s="4"/>
      <c r="D460" s="16" t="s">
        <v>271</v>
      </c>
      <c r="E460" s="4">
        <f>SUMIF(D198:D235,"Firestone",(F198:F235))</f>
        <v>16</v>
      </c>
    </row>
    <row r="461" spans="3:5" ht="18" customHeight="1" outlineLevel="1">
      <c r="C461" s="4"/>
      <c r="D461" s="16" t="s">
        <v>272</v>
      </c>
      <c r="E461" s="4">
        <f>SUMIF(D198:D235,"Teekpeh",(F198:F235))</f>
        <v>44</v>
      </c>
    </row>
    <row r="462" spans="3:5" ht="18" customHeight="1" outlineLevel="1">
      <c r="C462" s="4"/>
      <c r="D462" s="16" t="s">
        <v>273</v>
      </c>
      <c r="E462" s="4">
        <f>SUMIF(D198:D235,"Sahn",(F198:F235))</f>
        <v>9</v>
      </c>
    </row>
    <row r="463" spans="3:5">
      <c r="C463" s="4"/>
      <c r="D463" s="16" t="s">
        <v>274</v>
      </c>
      <c r="E463" s="4">
        <f>SUMIF(D198:D235,"Jodo",(F198:F235))</f>
        <v>13</v>
      </c>
    </row>
    <row r="464" spans="3:5">
      <c r="C464" s="4"/>
      <c r="D464" s="16" t="s">
        <v>275</v>
      </c>
      <c r="E464" s="4">
        <f>SUMIF(D198:D235,"Zeegar",(F198:F235))</f>
        <v>18</v>
      </c>
    </row>
    <row r="465" spans="3:5">
      <c r="C465" s="4"/>
      <c r="D465" s="16" t="s">
        <v>277</v>
      </c>
      <c r="E465" s="4">
        <f>SUMIF(D198:D235,"Zaryea",(F198:F235))</f>
        <v>21</v>
      </c>
    </row>
    <row r="466" spans="3:5">
      <c r="C466" s="4"/>
      <c r="D466" s="16" t="s">
        <v>278</v>
      </c>
      <c r="E466" s="4">
        <f>SUMIF(D198:D235,"Budoin",(F198:F235))</f>
        <v>7</v>
      </c>
    </row>
    <row r="467" spans="3:5">
      <c r="C467" s="4"/>
      <c r="D467" s="16" t="s">
        <v>279</v>
      </c>
      <c r="E467" s="4">
        <f>SUMIF(D198:D235,"Gleozahn",(F198:F235))</f>
        <v>70</v>
      </c>
    </row>
    <row r="468" spans="3:5">
      <c r="C468" s="4"/>
      <c r="D468" s="16" t="s">
        <v>280</v>
      </c>
      <c r="E468" s="4">
        <f>SUMIF(D198:D235,"Boe",(F198:F235))</f>
        <v>100</v>
      </c>
    </row>
    <row r="469" spans="3:5">
      <c r="C469" s="4"/>
      <c r="D469" s="16" t="s">
        <v>281</v>
      </c>
      <c r="E469" s="4">
        <f>SUMIF(D198:D235,"Paye",(F198:F235))</f>
        <v>10</v>
      </c>
    </row>
    <row r="470" spans="3:5">
      <c r="C470" s="4"/>
      <c r="D470" s="16" t="s">
        <v>282</v>
      </c>
      <c r="E470" s="4">
        <f>SUMIF(D198:D235,"Karngbo",(F198:F235))</f>
        <v>13</v>
      </c>
    </row>
    <row r="471" spans="3:5">
      <c r="C471" s="165" t="s">
        <v>366</v>
      </c>
      <c r="D471" s="166"/>
      <c r="E471" s="14">
        <f>SUM(E442:E470)</f>
        <v>1924</v>
      </c>
    </row>
    <row r="472" spans="3:5">
      <c r="C472" s="162" t="s">
        <v>371</v>
      </c>
      <c r="D472" s="163"/>
      <c r="E472" s="164"/>
    </row>
    <row r="473" spans="3:5">
      <c r="C473" s="4"/>
      <c r="D473" s="16" t="s">
        <v>289</v>
      </c>
      <c r="E473" s="4">
        <f>SUMIF(D239:D244,"Wolfiken",(F239:F244))</f>
        <v>0</v>
      </c>
    </row>
    <row r="474" spans="3:5">
      <c r="C474" s="4"/>
      <c r="D474" s="16" t="s">
        <v>290</v>
      </c>
      <c r="E474" s="4">
        <f>SUMIF(D239:D244,"Yougbo",(F239:F244))</f>
        <v>0</v>
      </c>
    </row>
    <row r="475" spans="3:5">
      <c r="C475" s="4"/>
      <c r="D475" s="16" t="s">
        <v>291</v>
      </c>
      <c r="E475" s="4">
        <f>SUMIF(D239:D244,"Salla",(F239:F244))</f>
        <v>0</v>
      </c>
    </row>
    <row r="476" spans="3:5">
      <c r="C476" s="4"/>
      <c r="D476" s="16" t="s">
        <v>292</v>
      </c>
      <c r="E476" s="4">
        <f>SUMIF(D239:D244,"Gbweleken",(F239:F244))</f>
        <v>0</v>
      </c>
    </row>
    <row r="477" spans="3:5">
      <c r="C477" s="4"/>
      <c r="D477" s="16" t="s">
        <v>293</v>
      </c>
      <c r="E477" s="4">
        <f>SUMIF(D239:D244,"Putuken",(F239:F244))</f>
        <v>0</v>
      </c>
    </row>
    <row r="478" spans="3:5">
      <c r="C478" s="4"/>
      <c r="D478" s="16" t="s">
        <v>294</v>
      </c>
      <c r="E478" s="4">
        <f>SUMIF(D239:D244,"Kanweaken Villages",(F239:F244))</f>
        <v>0</v>
      </c>
    </row>
    <row r="479" spans="3:5">
      <c r="C479" s="4"/>
      <c r="D479" s="16" t="s">
        <v>295</v>
      </c>
      <c r="E479" s="4">
        <f>SUMIF(D239:D244,"Killepo Kanweaken",(F239:F244))</f>
        <v>0</v>
      </c>
    </row>
    <row r="480" spans="3:5">
      <c r="C480" s="165" t="s">
        <v>372</v>
      </c>
      <c r="D480" s="166"/>
      <c r="E480" s="14">
        <f>SUM(E473:E479)</f>
        <v>0</v>
      </c>
    </row>
    <row r="481" spans="3:5">
      <c r="C481" s="162" t="s">
        <v>373</v>
      </c>
      <c r="D481" s="163"/>
      <c r="E481" s="164"/>
    </row>
    <row r="482" spans="3:5">
      <c r="C482" s="4"/>
      <c r="D482" s="16" t="s">
        <v>296</v>
      </c>
      <c r="E482" s="4">
        <f>SUMIF(D247:D255,"Pratt Farm",(F247:F255))</f>
        <v>42</v>
      </c>
    </row>
    <row r="483" spans="3:5">
      <c r="C483" s="4"/>
      <c r="D483" s="16" t="s">
        <v>297</v>
      </c>
      <c r="E483" s="4">
        <f>SUMIF(D247:D255,"Chebioh Town",(F247:F255))</f>
        <v>125</v>
      </c>
    </row>
    <row r="484" spans="3:5" ht="34">
      <c r="C484" s="4"/>
      <c r="D484" s="17" t="s">
        <v>298</v>
      </c>
      <c r="E484" s="4">
        <f>SUMIF(D247:D255,"High School",(F247:F255))</f>
        <v>0</v>
      </c>
    </row>
    <row r="485" spans="3:5">
      <c r="C485" s="4"/>
      <c r="D485" s="16" t="s">
        <v>299</v>
      </c>
      <c r="E485" s="4">
        <f>SUMIF(D247:D255,"Saywonkan",(F247:F255))</f>
        <v>20</v>
      </c>
    </row>
    <row r="486" spans="3:5">
      <c r="C486" s="4"/>
      <c r="D486" s="16" t="s">
        <v>300</v>
      </c>
      <c r="E486" s="4">
        <f>SUMIF(D247:D255,"Po-River",(F247:F255))</f>
        <v>6</v>
      </c>
    </row>
    <row r="487" spans="3:5" ht="37">
      <c r="C487" s="4"/>
      <c r="D487" s="17" t="s">
        <v>301</v>
      </c>
      <c r="E487" s="4">
        <f>SUMIF(D247:D255,"Mississippi Street, Methodist 1st Church",(F247:F255))</f>
        <v>0</v>
      </c>
    </row>
    <row r="488" spans="3:5">
      <c r="C488" s="4"/>
      <c r="D488" s="16" t="s">
        <v>305</v>
      </c>
      <c r="E488" s="4">
        <f>SUMIF(D247:D255,"Sayklapo",(F247:F255))</f>
        <v>14</v>
      </c>
    </row>
    <row r="489" spans="3:5">
      <c r="C489" s="4"/>
      <c r="D489" s="16" t="s">
        <v>306</v>
      </c>
      <c r="E489" s="4">
        <f>SUMIF(D247:D255,"ENI Peace Conference",(F247:F255))</f>
        <v>500</v>
      </c>
    </row>
    <row r="490" spans="3:5">
      <c r="C490" s="4"/>
      <c r="D490" s="16"/>
      <c r="E490" s="4">
        <f>SUMIF(D247:D255,"",(F247:F255))</f>
        <v>100</v>
      </c>
    </row>
    <row r="491" spans="3:5">
      <c r="C491" s="165" t="s">
        <v>374</v>
      </c>
      <c r="D491" s="166"/>
      <c r="E491" s="14">
        <f>SUM(E482:E490)</f>
        <v>807</v>
      </c>
    </row>
  </sheetData>
  <mergeCells count="33">
    <mergeCell ref="C275:E275"/>
    <mergeCell ref="C285:D285"/>
    <mergeCell ref="C286:E286"/>
    <mergeCell ref="C305:D305"/>
    <mergeCell ref="A1:K1"/>
    <mergeCell ref="A2:K2"/>
    <mergeCell ref="C259:E259"/>
    <mergeCell ref="C274:D274"/>
    <mergeCell ref="C261:E261"/>
    <mergeCell ref="C306:E306"/>
    <mergeCell ref="C314:D314"/>
    <mergeCell ref="C315:E315"/>
    <mergeCell ref="C340:D340"/>
    <mergeCell ref="C341:E341"/>
    <mergeCell ref="C351:D351"/>
    <mergeCell ref="C352:E352"/>
    <mergeCell ref="C365:D365"/>
    <mergeCell ref="C366:E366"/>
    <mergeCell ref="C399:D399"/>
    <mergeCell ref="C400:E400"/>
    <mergeCell ref="C412:D412"/>
    <mergeCell ref="C413:E413"/>
    <mergeCell ref="C421:D421"/>
    <mergeCell ref="C422:E422"/>
    <mergeCell ref="C472:E472"/>
    <mergeCell ref="C480:D480"/>
    <mergeCell ref="C481:E481"/>
    <mergeCell ref="C491:D491"/>
    <mergeCell ref="C431:D431"/>
    <mergeCell ref="C432:E432"/>
    <mergeCell ref="C440:D440"/>
    <mergeCell ref="C441:E441"/>
    <mergeCell ref="C471:D471"/>
  </mergeCells>
  <conditionalFormatting sqref="K15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scale="31" orientation="portrait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8C11D-D66A-9943-A055-78FD88C934F8}">
  <dimension ref="B4:L41"/>
  <sheetViews>
    <sheetView workbookViewId="0">
      <selection activeCell="G16" sqref="G16"/>
    </sheetView>
  </sheetViews>
  <sheetFormatPr baseColWidth="10" defaultRowHeight="15"/>
  <cols>
    <col min="2" max="2" width="2.1640625" bestFit="1" customWidth="1"/>
    <col min="3" max="3" width="5.1640625" bestFit="1" customWidth="1"/>
    <col min="4" max="4" width="9" bestFit="1" customWidth="1"/>
    <col min="5" max="5" width="12.6640625" bestFit="1" customWidth="1"/>
    <col min="6" max="6" width="8.5" bestFit="1" customWidth="1"/>
    <col min="7" max="7" width="47.83203125" bestFit="1" customWidth="1"/>
    <col min="10" max="10" width="12.33203125" bestFit="1" customWidth="1"/>
    <col min="12" max="12" width="38.6640625" bestFit="1" customWidth="1"/>
  </cols>
  <sheetData>
    <row r="4" spans="2:12" ht="103">
      <c r="B4" s="116"/>
      <c r="C4" s="20" t="s">
        <v>14</v>
      </c>
      <c r="D4" s="33" t="s">
        <v>22</v>
      </c>
      <c r="E4" s="33" t="s">
        <v>333</v>
      </c>
      <c r="F4" s="159" t="s">
        <v>440</v>
      </c>
      <c r="G4" s="159" t="s">
        <v>441</v>
      </c>
      <c r="H4" t="s">
        <v>443</v>
      </c>
      <c r="I4" s="159" t="s">
        <v>442</v>
      </c>
      <c r="J4" s="159" t="s">
        <v>23</v>
      </c>
      <c r="K4" s="159" t="s">
        <v>444</v>
      </c>
      <c r="L4" s="154" t="s">
        <v>445</v>
      </c>
    </row>
    <row r="5" spans="2:12" ht="16">
      <c r="B5" s="155"/>
      <c r="C5" s="85"/>
      <c r="D5" s="120" t="s">
        <v>158</v>
      </c>
      <c r="E5" s="120" t="s">
        <v>159</v>
      </c>
      <c r="F5" s="120" t="s">
        <v>161</v>
      </c>
      <c r="G5" s="120">
        <v>213</v>
      </c>
      <c r="H5" s="120"/>
      <c r="I5" s="120"/>
      <c r="J5" s="120">
        <v>2003</v>
      </c>
      <c r="K5" s="120"/>
      <c r="L5" s="156"/>
    </row>
    <row r="6" spans="2:12" ht="16">
      <c r="B6" s="116"/>
      <c r="C6" s="85"/>
      <c r="D6" s="120" t="s">
        <v>158</v>
      </c>
      <c r="E6" s="120" t="s">
        <v>160</v>
      </c>
      <c r="F6" s="120" t="s">
        <v>161</v>
      </c>
      <c r="G6" s="120">
        <v>112</v>
      </c>
      <c r="H6" s="120"/>
      <c r="I6" s="120"/>
      <c r="J6" s="120">
        <v>2003</v>
      </c>
      <c r="K6" s="120"/>
      <c r="L6" s="156"/>
    </row>
    <row r="7" spans="2:12" ht="16">
      <c r="B7" s="155"/>
      <c r="C7" s="85"/>
      <c r="D7" s="120" t="s">
        <v>162</v>
      </c>
      <c r="E7" s="120" t="s">
        <v>163</v>
      </c>
      <c r="F7" s="120" t="s">
        <v>164</v>
      </c>
      <c r="G7" s="120">
        <v>86</v>
      </c>
      <c r="H7" s="120"/>
      <c r="I7" s="120"/>
      <c r="J7" s="120">
        <v>1993</v>
      </c>
      <c r="K7" s="120"/>
      <c r="L7" s="156"/>
    </row>
    <row r="8" spans="2:12" ht="16">
      <c r="B8" s="116"/>
      <c r="C8" s="85"/>
      <c r="D8" s="120" t="s">
        <v>162</v>
      </c>
      <c r="E8" s="120" t="s">
        <v>165</v>
      </c>
      <c r="F8" s="120" t="s">
        <v>167</v>
      </c>
      <c r="G8" s="120">
        <v>75</v>
      </c>
      <c r="H8" s="120"/>
      <c r="I8" s="120"/>
      <c r="J8" s="120">
        <v>1993</v>
      </c>
      <c r="K8" s="120"/>
      <c r="L8" s="156"/>
    </row>
    <row r="9" spans="2:12" ht="16">
      <c r="B9" s="155"/>
      <c r="C9" s="85"/>
      <c r="D9" s="120" t="s">
        <v>162</v>
      </c>
      <c r="E9" s="120" t="s">
        <v>166</v>
      </c>
      <c r="F9" s="120" t="s">
        <v>167</v>
      </c>
      <c r="G9" s="120">
        <v>100</v>
      </c>
      <c r="H9" s="120"/>
      <c r="I9" s="120"/>
      <c r="J9" s="120">
        <v>1993</v>
      </c>
      <c r="K9" s="120"/>
      <c r="L9" s="156"/>
    </row>
    <row r="10" spans="2:12" ht="16">
      <c r="B10" s="116"/>
      <c r="C10" s="85"/>
      <c r="D10" s="120" t="s">
        <v>168</v>
      </c>
      <c r="E10" s="120" t="s">
        <v>169</v>
      </c>
      <c r="F10" s="120" t="s">
        <v>60</v>
      </c>
      <c r="G10" s="120">
        <v>387</v>
      </c>
      <c r="H10" s="120"/>
      <c r="I10" s="120"/>
      <c r="J10" s="120">
        <v>1990</v>
      </c>
      <c r="K10" s="120"/>
      <c r="L10" s="156"/>
    </row>
    <row r="11" spans="2:12" ht="16">
      <c r="B11" s="155"/>
      <c r="C11" s="85"/>
      <c r="D11" s="120" t="s">
        <v>168</v>
      </c>
      <c r="E11" s="120" t="s">
        <v>171</v>
      </c>
      <c r="F11" s="120" t="s">
        <v>60</v>
      </c>
      <c r="G11" s="120">
        <v>27</v>
      </c>
      <c r="H11" s="120"/>
      <c r="I11" s="120"/>
      <c r="J11" s="120">
        <v>1990</v>
      </c>
      <c r="K11" s="120"/>
      <c r="L11" s="156"/>
    </row>
    <row r="12" spans="2:12" ht="16">
      <c r="B12" s="116"/>
      <c r="C12" s="85"/>
      <c r="D12" s="120" t="s">
        <v>168</v>
      </c>
      <c r="E12" s="120" t="s">
        <v>172</v>
      </c>
      <c r="F12" s="120" t="s">
        <v>60</v>
      </c>
      <c r="G12" s="120">
        <v>47</v>
      </c>
      <c r="H12" s="120"/>
      <c r="I12" s="120"/>
      <c r="J12" s="120">
        <v>1991</v>
      </c>
      <c r="K12" s="120"/>
      <c r="L12" s="156"/>
    </row>
    <row r="13" spans="2:12" ht="16">
      <c r="B13" s="155"/>
      <c r="C13" s="85"/>
      <c r="D13" s="120" t="s">
        <v>168</v>
      </c>
      <c r="E13" s="120" t="s">
        <v>173</v>
      </c>
      <c r="F13" s="120" t="s">
        <v>164</v>
      </c>
      <c r="G13" s="120">
        <v>142</v>
      </c>
      <c r="H13" s="120"/>
      <c r="I13" s="120"/>
      <c r="J13" s="120">
        <v>1993</v>
      </c>
      <c r="K13" s="120"/>
      <c r="L13" s="156"/>
    </row>
    <row r="14" spans="2:12" ht="16">
      <c r="B14" s="116"/>
      <c r="C14" s="85"/>
      <c r="D14" s="120" t="s">
        <v>168</v>
      </c>
      <c r="E14" s="120" t="s">
        <v>174</v>
      </c>
      <c r="F14" s="120" t="s">
        <v>167</v>
      </c>
      <c r="G14" s="120">
        <v>86</v>
      </c>
      <c r="H14" s="120"/>
      <c r="I14" s="120"/>
      <c r="J14" s="120">
        <v>1993</v>
      </c>
      <c r="K14" s="120"/>
      <c r="L14" s="156"/>
    </row>
    <row r="15" spans="2:12" ht="16">
      <c r="B15" s="155"/>
      <c r="C15" s="85"/>
      <c r="D15" s="120" t="s">
        <v>168</v>
      </c>
      <c r="E15" s="120" t="s">
        <v>175</v>
      </c>
      <c r="F15" s="120" t="s">
        <v>164</v>
      </c>
      <c r="G15" s="120">
        <v>55</v>
      </c>
      <c r="H15" s="120"/>
      <c r="I15" s="120"/>
      <c r="J15" s="120">
        <v>1993</v>
      </c>
      <c r="K15" s="120"/>
      <c r="L15" s="156"/>
    </row>
    <row r="16" spans="2:12" ht="16">
      <c r="B16" s="116"/>
      <c r="C16" s="85"/>
      <c r="D16" s="120" t="s">
        <v>168</v>
      </c>
      <c r="E16" s="120" t="s">
        <v>176</v>
      </c>
      <c r="F16" s="120" t="s">
        <v>164</v>
      </c>
      <c r="G16" s="120">
        <v>47</v>
      </c>
      <c r="H16" s="120"/>
      <c r="I16" s="120"/>
      <c r="J16" s="120">
        <v>1993</v>
      </c>
      <c r="K16" s="120"/>
      <c r="L16" s="156"/>
    </row>
    <row r="17" spans="2:12" ht="16">
      <c r="B17" s="155"/>
      <c r="C17" s="85"/>
      <c r="D17" s="120" t="s">
        <v>168</v>
      </c>
      <c r="E17" s="120" t="s">
        <v>177</v>
      </c>
      <c r="F17" s="120" t="s">
        <v>164</v>
      </c>
      <c r="G17" s="120">
        <v>40</v>
      </c>
      <c r="H17" s="120"/>
      <c r="I17" s="120"/>
      <c r="J17" s="120">
        <v>1993</v>
      </c>
      <c r="K17" s="120"/>
      <c r="L17" s="156" t="s">
        <v>400</v>
      </c>
    </row>
    <row r="18" spans="2:12" ht="16">
      <c r="B18" s="116"/>
      <c r="C18" s="85"/>
      <c r="D18" s="120" t="s">
        <v>168</v>
      </c>
      <c r="E18" s="120" t="s">
        <v>178</v>
      </c>
      <c r="F18" s="120" t="s">
        <v>164</v>
      </c>
      <c r="G18" s="120">
        <v>37</v>
      </c>
      <c r="H18" s="120"/>
      <c r="I18" s="120"/>
      <c r="J18" s="120">
        <v>1993</v>
      </c>
      <c r="K18" s="120"/>
      <c r="L18" s="156"/>
    </row>
    <row r="19" spans="2:12" ht="16">
      <c r="B19" s="155"/>
      <c r="C19" s="85"/>
      <c r="D19" s="120" t="s">
        <v>168</v>
      </c>
      <c r="E19" s="120" t="s">
        <v>179</v>
      </c>
      <c r="F19" s="120" t="s">
        <v>164</v>
      </c>
      <c r="G19" s="120">
        <v>11</v>
      </c>
      <c r="H19" s="120"/>
      <c r="I19" s="120"/>
      <c r="J19" s="120">
        <v>1993</v>
      </c>
      <c r="K19" s="120"/>
      <c r="L19" s="156"/>
    </row>
    <row r="20" spans="2:12" ht="16">
      <c r="B20" s="116"/>
      <c r="C20" s="85"/>
      <c r="D20" s="120" t="s">
        <v>168</v>
      </c>
      <c r="E20" s="120" t="s">
        <v>180</v>
      </c>
      <c r="F20" s="120" t="s">
        <v>164</v>
      </c>
      <c r="G20" s="120">
        <v>25</v>
      </c>
      <c r="H20" s="120"/>
      <c r="I20" s="120"/>
      <c r="J20" s="120">
        <v>1993</v>
      </c>
      <c r="K20" s="120"/>
      <c r="L20" s="156"/>
    </row>
    <row r="21" spans="2:12" ht="16">
      <c r="B21" s="155"/>
      <c r="C21" s="85"/>
      <c r="D21" s="120" t="s">
        <v>168</v>
      </c>
      <c r="E21" s="120" t="s">
        <v>181</v>
      </c>
      <c r="F21" s="120" t="s">
        <v>164</v>
      </c>
      <c r="G21" s="120">
        <v>20</v>
      </c>
      <c r="H21" s="120"/>
      <c r="I21" s="120"/>
      <c r="J21" s="120">
        <v>1993</v>
      </c>
      <c r="K21" s="120"/>
      <c r="L21" s="156"/>
    </row>
    <row r="22" spans="2:12" ht="16">
      <c r="B22" s="116"/>
      <c r="C22" s="85"/>
      <c r="D22" s="120" t="s">
        <v>168</v>
      </c>
      <c r="E22" s="120" t="s">
        <v>182</v>
      </c>
      <c r="F22" s="120" t="s">
        <v>164</v>
      </c>
      <c r="G22" s="120">
        <v>60</v>
      </c>
      <c r="H22" s="120"/>
      <c r="I22" s="120"/>
      <c r="J22" s="120">
        <v>1993</v>
      </c>
      <c r="K22" s="120"/>
      <c r="L22" s="156"/>
    </row>
    <row r="23" spans="2:12" ht="16">
      <c r="B23" s="155"/>
      <c r="C23" s="85"/>
      <c r="D23" s="120" t="s">
        <v>168</v>
      </c>
      <c r="E23" s="120" t="s">
        <v>183</v>
      </c>
      <c r="F23" s="120" t="s">
        <v>170</v>
      </c>
      <c r="G23" s="120">
        <v>27</v>
      </c>
      <c r="H23" s="120"/>
      <c r="I23" s="120"/>
      <c r="J23" s="120">
        <v>2003</v>
      </c>
      <c r="K23" s="120"/>
      <c r="L23" s="156"/>
    </row>
    <row r="24" spans="2:12" ht="51">
      <c r="B24" s="116"/>
      <c r="C24" s="85"/>
      <c r="D24" s="120" t="s">
        <v>168</v>
      </c>
      <c r="E24" s="157" t="s">
        <v>184</v>
      </c>
      <c r="F24" s="120" t="s">
        <v>39</v>
      </c>
      <c r="G24" s="120">
        <v>750</v>
      </c>
      <c r="H24" s="120"/>
      <c r="I24" s="120"/>
      <c r="J24" s="120">
        <v>1993</v>
      </c>
      <c r="K24" s="120"/>
      <c r="L24" s="156"/>
    </row>
    <row r="25" spans="2:12" ht="16">
      <c r="B25" s="155"/>
      <c r="C25" s="85"/>
      <c r="D25" s="120" t="s">
        <v>185</v>
      </c>
      <c r="E25" s="120" t="s">
        <v>187</v>
      </c>
      <c r="F25" s="120" t="s">
        <v>200</v>
      </c>
      <c r="G25" s="120">
        <v>550</v>
      </c>
      <c r="H25" s="120"/>
      <c r="I25" s="120"/>
      <c r="J25" s="120">
        <v>2003</v>
      </c>
      <c r="K25" s="120"/>
      <c r="L25" s="156"/>
    </row>
    <row r="26" spans="2:12" ht="16">
      <c r="B26" s="116"/>
      <c r="C26" s="85"/>
      <c r="D26" s="120" t="s">
        <v>185</v>
      </c>
      <c r="E26" s="120" t="s">
        <v>376</v>
      </c>
      <c r="F26" s="120" t="s">
        <v>200</v>
      </c>
      <c r="G26" s="120">
        <v>800</v>
      </c>
      <c r="H26" s="120"/>
      <c r="I26" s="120"/>
      <c r="J26" s="120">
        <v>2002</v>
      </c>
      <c r="K26" s="120"/>
      <c r="L26" s="156"/>
    </row>
    <row r="27" spans="2:12" ht="16">
      <c r="B27" s="155"/>
      <c r="C27" s="85"/>
      <c r="D27" s="120" t="s">
        <v>185</v>
      </c>
      <c r="E27" s="120" t="s">
        <v>189</v>
      </c>
      <c r="F27" s="120" t="s">
        <v>200</v>
      </c>
      <c r="G27" s="120">
        <v>100</v>
      </c>
      <c r="H27" s="120"/>
      <c r="I27" s="120"/>
      <c r="J27" s="120">
        <v>2002</v>
      </c>
      <c r="K27" s="120"/>
      <c r="L27" s="156"/>
    </row>
    <row r="28" spans="2:12" ht="16">
      <c r="B28" s="116"/>
      <c r="C28" s="85"/>
      <c r="D28" s="120" t="s">
        <v>185</v>
      </c>
      <c r="E28" s="120" t="s">
        <v>190</v>
      </c>
      <c r="F28" s="120" t="s">
        <v>200</v>
      </c>
      <c r="G28" s="120">
        <v>100</v>
      </c>
      <c r="H28" s="120"/>
      <c r="I28" s="120"/>
      <c r="J28" s="120">
        <v>2002</v>
      </c>
      <c r="K28" s="120"/>
      <c r="L28" s="156"/>
    </row>
    <row r="29" spans="2:12" ht="16">
      <c r="B29" s="155"/>
      <c r="C29" s="85"/>
      <c r="D29" s="120" t="s">
        <v>185</v>
      </c>
      <c r="E29" s="120" t="s">
        <v>191</v>
      </c>
      <c r="F29" s="120" t="s">
        <v>164</v>
      </c>
      <c r="G29" s="120">
        <v>36</v>
      </c>
      <c r="H29" s="120"/>
      <c r="I29" s="120"/>
      <c r="J29" s="120">
        <v>1993</v>
      </c>
      <c r="K29" s="120"/>
      <c r="L29" s="156"/>
    </row>
    <row r="30" spans="2:12" ht="16">
      <c r="B30" s="116"/>
      <c r="C30" s="85"/>
      <c r="D30" s="120" t="s">
        <v>185</v>
      </c>
      <c r="E30" s="120" t="s">
        <v>192</v>
      </c>
      <c r="F30" s="120" t="s">
        <v>200</v>
      </c>
      <c r="G30" s="120">
        <v>147</v>
      </c>
      <c r="H30" s="120"/>
      <c r="I30" s="120"/>
      <c r="J30" s="120">
        <v>2002</v>
      </c>
      <c r="K30" s="120"/>
      <c r="L30" s="156"/>
    </row>
    <row r="31" spans="2:12" ht="16">
      <c r="B31" s="155"/>
      <c r="C31" s="85"/>
      <c r="D31" s="120" t="s">
        <v>185</v>
      </c>
      <c r="E31" s="120" t="s">
        <v>193</v>
      </c>
      <c r="F31" s="120" t="s">
        <v>200</v>
      </c>
      <c r="G31" s="120">
        <v>300</v>
      </c>
      <c r="H31" s="120"/>
      <c r="I31" s="120"/>
      <c r="J31" s="120">
        <v>2002</v>
      </c>
      <c r="K31" s="120"/>
      <c r="L31" s="156"/>
    </row>
    <row r="32" spans="2:12" ht="16">
      <c r="B32" s="116"/>
      <c r="C32" s="85"/>
      <c r="D32" s="120" t="s">
        <v>186</v>
      </c>
      <c r="E32" s="120" t="s">
        <v>194</v>
      </c>
      <c r="F32" s="120" t="s">
        <v>164</v>
      </c>
      <c r="G32" s="120">
        <v>45</v>
      </c>
      <c r="H32" s="120"/>
      <c r="I32" s="120"/>
      <c r="J32" s="120">
        <v>1993</v>
      </c>
      <c r="K32" s="120"/>
      <c r="L32" s="156"/>
    </row>
    <row r="33" spans="2:12" ht="16">
      <c r="B33" s="155"/>
      <c r="C33" s="85"/>
      <c r="D33" s="120" t="s">
        <v>186</v>
      </c>
      <c r="E33" s="120" t="s">
        <v>195</v>
      </c>
      <c r="F33" s="120" t="s">
        <v>60</v>
      </c>
      <c r="G33" s="120">
        <v>27</v>
      </c>
      <c r="H33" s="120"/>
      <c r="I33" s="120"/>
      <c r="J33" s="120">
        <v>1992</v>
      </c>
      <c r="K33" s="120"/>
      <c r="L33" s="156"/>
    </row>
    <row r="34" spans="2:12" ht="16">
      <c r="B34" s="116"/>
      <c r="C34" s="85"/>
      <c r="D34" s="120" t="s">
        <v>196</v>
      </c>
      <c r="E34" s="120" t="s">
        <v>197</v>
      </c>
      <c r="F34" s="120" t="s">
        <v>164</v>
      </c>
      <c r="G34" s="120">
        <v>130</v>
      </c>
      <c r="H34" s="120"/>
      <c r="I34" s="120"/>
      <c r="J34" s="120">
        <v>1993</v>
      </c>
      <c r="K34" s="120"/>
      <c r="L34" s="156"/>
    </row>
    <row r="35" spans="2:12" ht="16">
      <c r="B35" s="155"/>
      <c r="C35" s="85"/>
      <c r="D35" s="120" t="s">
        <v>196</v>
      </c>
      <c r="E35" s="120" t="s">
        <v>198</v>
      </c>
      <c r="F35" s="120" t="s">
        <v>164</v>
      </c>
      <c r="G35" s="120">
        <v>207</v>
      </c>
      <c r="H35" s="120"/>
      <c r="I35" s="120"/>
      <c r="J35" s="120">
        <v>1993</v>
      </c>
      <c r="K35" s="120"/>
      <c r="L35" s="156"/>
    </row>
    <row r="36" spans="2:12" ht="16">
      <c r="B36" s="105"/>
      <c r="C36" s="118"/>
      <c r="D36" s="119" t="s">
        <v>196</v>
      </c>
      <c r="E36" s="120" t="s">
        <v>199</v>
      </c>
      <c r="F36" s="120" t="s">
        <v>164</v>
      </c>
      <c r="G36" s="120">
        <v>75</v>
      </c>
      <c r="H36" s="120"/>
      <c r="I36" s="120"/>
      <c r="J36" s="120">
        <v>1993</v>
      </c>
      <c r="K36" s="120"/>
      <c r="L36" s="156"/>
    </row>
    <row r="37" spans="2:12" ht="16">
      <c r="B37" s="158"/>
      <c r="C37" s="118"/>
      <c r="D37" s="119" t="s">
        <v>196</v>
      </c>
      <c r="E37" s="120" t="s">
        <v>401</v>
      </c>
      <c r="F37" s="120" t="s">
        <v>401</v>
      </c>
      <c r="G37" s="120" t="s">
        <v>402</v>
      </c>
      <c r="H37" s="120"/>
      <c r="I37" s="120"/>
      <c r="J37" s="120">
        <v>1993</v>
      </c>
      <c r="K37" s="120"/>
      <c r="L37" s="156"/>
    </row>
    <row r="38" spans="2:12" ht="16">
      <c r="B38" s="105"/>
      <c r="C38" s="118"/>
      <c r="D38" s="119" t="s">
        <v>162</v>
      </c>
      <c r="E38" s="120" t="s">
        <v>401</v>
      </c>
      <c r="F38" s="120" t="s">
        <v>164</v>
      </c>
      <c r="G38" s="120" t="s">
        <v>403</v>
      </c>
      <c r="H38" s="120"/>
      <c r="I38" s="120"/>
      <c r="J38" s="121" t="s">
        <v>404</v>
      </c>
      <c r="K38" s="120"/>
      <c r="L38" s="156"/>
    </row>
    <row r="39" spans="2:12" ht="16">
      <c r="B39" s="158"/>
      <c r="C39" s="118"/>
      <c r="D39" s="119" t="s">
        <v>168</v>
      </c>
      <c r="E39" s="120" t="s">
        <v>401</v>
      </c>
      <c r="F39" s="120" t="s">
        <v>164</v>
      </c>
      <c r="G39" s="120" t="s">
        <v>405</v>
      </c>
      <c r="H39" s="120"/>
      <c r="I39" s="120"/>
      <c r="J39" s="121" t="s">
        <v>406</v>
      </c>
      <c r="K39" s="120"/>
      <c r="L39" s="156"/>
    </row>
    <row r="40" spans="2:12" ht="16">
      <c r="B40" s="105"/>
      <c r="C40" s="118"/>
      <c r="D40" s="119" t="s">
        <v>168</v>
      </c>
      <c r="E40" s="120" t="s">
        <v>99</v>
      </c>
      <c r="F40" s="120" t="s">
        <v>164</v>
      </c>
      <c r="G40" s="120" t="s">
        <v>407</v>
      </c>
      <c r="H40" s="120"/>
      <c r="I40" s="120"/>
      <c r="J40" s="122">
        <v>34547</v>
      </c>
      <c r="K40" s="120"/>
      <c r="L40" s="156"/>
    </row>
    <row r="41" spans="2:12" ht="16">
      <c r="B41" s="155"/>
      <c r="C41" s="85"/>
      <c r="D41" s="120" t="s">
        <v>196</v>
      </c>
      <c r="E41" s="120" t="s">
        <v>199</v>
      </c>
      <c r="F41" s="120" t="s">
        <v>164</v>
      </c>
      <c r="G41" s="120">
        <v>75</v>
      </c>
      <c r="H41" s="120"/>
      <c r="I41" s="120"/>
      <c r="J41" s="120">
        <v>1993</v>
      </c>
      <c r="K41" s="120"/>
      <c r="L41" s="15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"/>
  <sheetViews>
    <sheetView workbookViewId="0">
      <pane ySplit="2" topLeftCell="A21" activePane="bottomLeft" state="frozen"/>
      <selection pane="bottomLeft" activeCell="C11" sqref="C11"/>
    </sheetView>
  </sheetViews>
  <sheetFormatPr baseColWidth="10" defaultColWidth="8.83203125" defaultRowHeight="15"/>
  <cols>
    <col min="1" max="1" width="31.1640625" bestFit="1" customWidth="1"/>
    <col min="2" max="2" width="11.5" bestFit="1" customWidth="1"/>
    <col min="3" max="3" width="23.5" bestFit="1" customWidth="1"/>
    <col min="4" max="4" width="19.5" bestFit="1" customWidth="1"/>
  </cols>
  <sheetData>
    <row r="1" spans="1:6">
      <c r="A1" s="178" t="s">
        <v>312</v>
      </c>
      <c r="B1" s="178"/>
      <c r="C1" s="178"/>
      <c r="D1" s="178"/>
    </row>
    <row r="2" spans="1:6" ht="48" customHeight="1">
      <c r="A2" s="179" t="s">
        <v>351</v>
      </c>
      <c r="B2" s="179"/>
      <c r="C2" s="179"/>
      <c r="D2" s="179"/>
    </row>
    <row r="3" spans="1:6">
      <c r="A3" s="180" t="s">
        <v>314</v>
      </c>
      <c r="B3" s="181"/>
      <c r="C3" s="181"/>
      <c r="D3" s="182"/>
    </row>
    <row r="4" spans="1:6" ht="16">
      <c r="A4" s="183" t="s">
        <v>328</v>
      </c>
      <c r="B4" s="184"/>
      <c r="C4" s="184"/>
      <c r="D4" s="185"/>
    </row>
    <row r="5" spans="1:6">
      <c r="A5" s="11" t="s">
        <v>349</v>
      </c>
      <c r="B5" s="11" t="s">
        <v>317</v>
      </c>
      <c r="C5" s="11" t="s">
        <v>329</v>
      </c>
      <c r="D5" s="11" t="s">
        <v>330</v>
      </c>
      <c r="E5" s="9"/>
      <c r="F5" s="9"/>
    </row>
    <row r="6" spans="1:6">
      <c r="A6" s="10" t="s">
        <v>315</v>
      </c>
      <c r="B6" s="10" t="s">
        <v>316</v>
      </c>
      <c r="C6" s="10" t="s">
        <v>359</v>
      </c>
      <c r="D6" s="12" t="s">
        <v>343</v>
      </c>
    </row>
    <row r="7" spans="1:6">
      <c r="A7" s="10" t="s">
        <v>325</v>
      </c>
      <c r="B7" s="10" t="s">
        <v>8</v>
      </c>
      <c r="C7" s="10" t="s">
        <v>357</v>
      </c>
      <c r="D7" s="10" t="s">
        <v>344</v>
      </c>
    </row>
    <row r="8" spans="1:6">
      <c r="A8" s="10" t="s">
        <v>326</v>
      </c>
      <c r="B8" s="10" t="s">
        <v>8</v>
      </c>
      <c r="C8" s="10" t="s">
        <v>357</v>
      </c>
      <c r="D8" s="10" t="s">
        <v>344</v>
      </c>
    </row>
    <row r="9" spans="1:6">
      <c r="A9" s="10" t="s">
        <v>327</v>
      </c>
      <c r="B9" s="10" t="s">
        <v>8</v>
      </c>
      <c r="C9" s="10" t="s">
        <v>356</v>
      </c>
      <c r="D9" s="10" t="s">
        <v>345</v>
      </c>
    </row>
    <row r="10" spans="1:6">
      <c r="A10" s="10" t="s">
        <v>318</v>
      </c>
      <c r="B10" s="10" t="s">
        <v>205</v>
      </c>
      <c r="C10" s="10" t="s">
        <v>355</v>
      </c>
      <c r="D10" s="10" t="s">
        <v>346</v>
      </c>
      <c r="E10" s="13"/>
    </row>
    <row r="11" spans="1:6">
      <c r="A11" s="10" t="s">
        <v>350</v>
      </c>
      <c r="B11" s="10" t="s">
        <v>205</v>
      </c>
      <c r="C11" s="10" t="s">
        <v>355</v>
      </c>
      <c r="D11" s="10" t="s">
        <v>346</v>
      </c>
    </row>
    <row r="12" spans="1:6">
      <c r="A12" s="10" t="s">
        <v>319</v>
      </c>
      <c r="B12" s="10" t="s">
        <v>205</v>
      </c>
      <c r="C12" s="10" t="s">
        <v>354</v>
      </c>
      <c r="D12" s="10" t="s">
        <v>347</v>
      </c>
    </row>
    <row r="13" spans="1:6">
      <c r="A13" s="10" t="s">
        <v>320</v>
      </c>
      <c r="B13" s="10" t="s">
        <v>205</v>
      </c>
      <c r="C13" s="10" t="s">
        <v>358</v>
      </c>
      <c r="D13" s="10" t="s">
        <v>346</v>
      </c>
    </row>
    <row r="14" spans="1:6">
      <c r="A14" s="10" t="s">
        <v>321</v>
      </c>
      <c r="B14" s="10" t="s">
        <v>205</v>
      </c>
      <c r="C14" s="10" t="s">
        <v>353</v>
      </c>
      <c r="D14" s="10" t="s">
        <v>347</v>
      </c>
    </row>
    <row r="15" spans="1:6">
      <c r="A15" s="10" t="s">
        <v>323</v>
      </c>
      <c r="B15" s="10" t="s">
        <v>205</v>
      </c>
      <c r="C15" s="10" t="s">
        <v>353</v>
      </c>
      <c r="D15" s="10" t="s">
        <v>347</v>
      </c>
    </row>
    <row r="16" spans="1:6">
      <c r="A16" s="10" t="s">
        <v>324</v>
      </c>
      <c r="B16" s="10" t="s">
        <v>205</v>
      </c>
      <c r="C16" s="10" t="s">
        <v>353</v>
      </c>
      <c r="D16" s="10" t="s">
        <v>347</v>
      </c>
    </row>
    <row r="17" spans="1:4">
      <c r="A17" s="10" t="s">
        <v>322</v>
      </c>
      <c r="B17" s="10" t="s">
        <v>18</v>
      </c>
      <c r="C17" s="10" t="s">
        <v>352</v>
      </c>
      <c r="D17" s="10" t="s">
        <v>348</v>
      </c>
    </row>
    <row r="18" spans="1:4">
      <c r="A18" s="10" t="s">
        <v>332</v>
      </c>
      <c r="B18" s="10" t="s">
        <v>18</v>
      </c>
      <c r="C18" s="10" t="s">
        <v>352</v>
      </c>
      <c r="D18" s="10" t="s">
        <v>348</v>
      </c>
    </row>
    <row r="21" spans="1:4" ht="16">
      <c r="A21" s="183" t="s">
        <v>333</v>
      </c>
      <c r="B21" s="184"/>
      <c r="C21" s="184"/>
      <c r="D21" s="185"/>
    </row>
    <row r="22" spans="1:4">
      <c r="A22" s="10" t="s">
        <v>1</v>
      </c>
      <c r="B22" s="10" t="s">
        <v>334</v>
      </c>
      <c r="C22" s="10" t="s">
        <v>335</v>
      </c>
      <c r="D22" s="10" t="s">
        <v>336</v>
      </c>
    </row>
    <row r="23" spans="1:4">
      <c r="A23" s="10" t="s">
        <v>14</v>
      </c>
      <c r="B23" s="10" t="s">
        <v>342</v>
      </c>
      <c r="C23" s="10"/>
      <c r="D23" s="10" t="s">
        <v>339</v>
      </c>
    </row>
    <row r="24" spans="1:4">
      <c r="A24" s="10" t="s">
        <v>337</v>
      </c>
      <c r="B24" s="10" t="s">
        <v>263</v>
      </c>
      <c r="C24" s="10"/>
      <c r="D24" s="10" t="s">
        <v>331</v>
      </c>
    </row>
    <row r="25" spans="1:4" ht="16">
      <c r="A25" s="10" t="s">
        <v>338</v>
      </c>
      <c r="B25" s="4" t="s">
        <v>96</v>
      </c>
      <c r="C25" s="10"/>
      <c r="D25" s="10" t="s">
        <v>340</v>
      </c>
    </row>
    <row r="26" spans="1:4" ht="16">
      <c r="A26" s="10" t="s">
        <v>9</v>
      </c>
      <c r="B26" s="4" t="s">
        <v>65</v>
      </c>
      <c r="C26" s="10"/>
      <c r="D26" s="10" t="s">
        <v>341</v>
      </c>
    </row>
  </sheetData>
  <mergeCells count="5">
    <mergeCell ref="A1:D1"/>
    <mergeCell ref="A2:D2"/>
    <mergeCell ref="A3:D3"/>
    <mergeCell ref="A21:D21"/>
    <mergeCell ref="A4:D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4</vt:i4>
      </vt:variant>
    </vt:vector>
  </HeadingPairs>
  <TitlesOfParts>
    <vt:vector size="7" baseType="lpstr">
      <vt:lpstr>Database</vt:lpstr>
      <vt:lpstr>Sheet1</vt:lpstr>
      <vt:lpstr>Fieldwork</vt:lpstr>
      <vt:lpstr>Bong chart</vt:lpstr>
      <vt:lpstr>Lofa Chart</vt:lpstr>
      <vt:lpstr>Rivercess Chart</vt:lpstr>
      <vt:lpstr>Sinoe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Aaron Weah</cp:lastModifiedBy>
  <cp:lastPrinted>2020-10-16T16:25:44Z</cp:lastPrinted>
  <dcterms:created xsi:type="dcterms:W3CDTF">2020-05-13T13:38:11Z</dcterms:created>
  <dcterms:modified xsi:type="dcterms:W3CDTF">2023-11-14T14:46:45Z</dcterms:modified>
</cp:coreProperties>
</file>